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29"/>
  <workbookPr defaultThemeVersion="166925"/>
  <mc:AlternateContent xmlns:mc="http://schemas.openxmlformats.org/markup-compatibility/2006">
    <mc:Choice Requires="x15">
      <x15ac:absPath xmlns:x15ac="http://schemas.microsoft.com/office/spreadsheetml/2010/11/ac" url="C:\Users\pablo\Desktop\4 Curso\IA en las Organizaciones\Practicas\Final\SantiAbascalSentiment\Fecha2\"/>
    </mc:Choice>
  </mc:AlternateContent>
  <xr:revisionPtr revIDLastSave="0" documentId="13_ncr:1_{875698B3-CAF8-4F89-BA57-6F65C2B7C4B4}" xr6:coauthVersionLast="40" xr6:coauthVersionMax="40" xr10:uidLastSave="{00000000-0000-0000-0000-000000000000}"/>
  <bookViews>
    <workbookView xWindow="0" yWindow="0" windowWidth="23040" windowHeight="8412" xr2:uid="{00000000-000D-0000-FFFF-FFFF00000000}"/>
  </bookViews>
  <sheets>
    <sheet name="Santi Abascal langes -filterret" sheetId="3" r:id="rId1"/>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U2476" i="3" l="1"/>
  <c r="K2476" i="3"/>
  <c r="E2476" i="3"/>
  <c r="B2476" i="3"/>
  <c r="U2475" i="3"/>
  <c r="K2475" i="3"/>
  <c r="E2475" i="3"/>
  <c r="B2475" i="3"/>
  <c r="U2474" i="3"/>
  <c r="K2474" i="3"/>
  <c r="E2474" i="3"/>
  <c r="B2474" i="3"/>
  <c r="U2473" i="3"/>
  <c r="K2473" i="3"/>
  <c r="E2473" i="3"/>
  <c r="B2473" i="3"/>
  <c r="U2472" i="3"/>
  <c r="K2472" i="3"/>
  <c r="E2472" i="3"/>
  <c r="B2472" i="3"/>
  <c r="U2471" i="3"/>
  <c r="K2471" i="3"/>
  <c r="E2471" i="3"/>
  <c r="B2471" i="3"/>
  <c r="U2470" i="3"/>
  <c r="K2470" i="3"/>
  <c r="E2470" i="3"/>
  <c r="B2470" i="3"/>
  <c r="U2469" i="3"/>
  <c r="K2469" i="3"/>
  <c r="E2469" i="3"/>
  <c r="B2469" i="3"/>
  <c r="U2468" i="3"/>
  <c r="K2468" i="3"/>
  <c r="E2468" i="3"/>
  <c r="B2468" i="3"/>
  <c r="U2467" i="3"/>
  <c r="K2467" i="3"/>
  <c r="E2467" i="3"/>
  <c r="B2467" i="3"/>
  <c r="U2466" i="3"/>
  <c r="K2466" i="3"/>
  <c r="E2466" i="3"/>
  <c r="B2466" i="3"/>
  <c r="U2465" i="3"/>
  <c r="K2465" i="3"/>
  <c r="E2465" i="3"/>
  <c r="B2465" i="3"/>
  <c r="U2464" i="3"/>
  <c r="K2464" i="3"/>
  <c r="E2464" i="3"/>
  <c r="B2464" i="3"/>
  <c r="U2463" i="3"/>
  <c r="K2463" i="3"/>
  <c r="E2463" i="3"/>
  <c r="B2463" i="3"/>
  <c r="U2462" i="3"/>
  <c r="K2462" i="3"/>
  <c r="E2462" i="3"/>
  <c r="B2462" i="3"/>
  <c r="U2461" i="3"/>
  <c r="K2461" i="3"/>
  <c r="E2461" i="3"/>
  <c r="B2461" i="3"/>
  <c r="U2460" i="3"/>
  <c r="K2460" i="3"/>
  <c r="E2460" i="3"/>
  <c r="B2460" i="3"/>
  <c r="U2459" i="3"/>
  <c r="K2459" i="3"/>
  <c r="E2459" i="3"/>
  <c r="B2459" i="3"/>
  <c r="U2458" i="3"/>
  <c r="K2458" i="3"/>
  <c r="E2458" i="3"/>
  <c r="B2458" i="3"/>
  <c r="U2457" i="3"/>
  <c r="K2457" i="3"/>
  <c r="E2457" i="3"/>
  <c r="B2457" i="3"/>
  <c r="U2456" i="3"/>
  <c r="K2456" i="3"/>
  <c r="E2456" i="3"/>
  <c r="B2456" i="3"/>
  <c r="U2455" i="3"/>
  <c r="K2455" i="3"/>
  <c r="E2455" i="3"/>
  <c r="B2455" i="3"/>
  <c r="U2454" i="3"/>
  <c r="K2454" i="3"/>
  <c r="E2454" i="3"/>
  <c r="B2454" i="3"/>
  <c r="U2453" i="3"/>
  <c r="K2453" i="3"/>
  <c r="E2453" i="3"/>
  <c r="B2453" i="3"/>
  <c r="U2452" i="3"/>
  <c r="K2452" i="3"/>
  <c r="E2452" i="3"/>
  <c r="B2452" i="3"/>
  <c r="U2451" i="3"/>
  <c r="K2451" i="3"/>
  <c r="E2451" i="3"/>
  <c r="B2451" i="3"/>
  <c r="U2450" i="3"/>
  <c r="K2450" i="3"/>
  <c r="E2450" i="3"/>
  <c r="B2450" i="3"/>
  <c r="U2449" i="3"/>
  <c r="K2449" i="3"/>
  <c r="E2449" i="3"/>
  <c r="B2449" i="3"/>
  <c r="U2448" i="3"/>
  <c r="K2448" i="3"/>
  <c r="E2448" i="3"/>
  <c r="B2448" i="3"/>
  <c r="U2447" i="3"/>
  <c r="K2447" i="3"/>
  <c r="E2447" i="3"/>
  <c r="B2447" i="3"/>
  <c r="U2446" i="3"/>
  <c r="K2446" i="3"/>
  <c r="E2446" i="3"/>
  <c r="B2446" i="3"/>
  <c r="U2445" i="3"/>
  <c r="K2445" i="3"/>
  <c r="E2445" i="3"/>
  <c r="B2445" i="3"/>
  <c r="U2444" i="3"/>
  <c r="K2444" i="3"/>
  <c r="E2444" i="3"/>
  <c r="B2444" i="3"/>
  <c r="U2443" i="3"/>
  <c r="K2443" i="3"/>
  <c r="E2443" i="3"/>
  <c r="B2443" i="3"/>
  <c r="U2442" i="3"/>
  <c r="K2442" i="3"/>
  <c r="E2442" i="3"/>
  <c r="B2442" i="3"/>
  <c r="U2441" i="3"/>
  <c r="K2441" i="3"/>
  <c r="E2441" i="3"/>
  <c r="B2441" i="3"/>
  <c r="U2440" i="3"/>
  <c r="K2440" i="3"/>
  <c r="E2440" i="3"/>
  <c r="B2440" i="3"/>
  <c r="U2439" i="3"/>
  <c r="K2439" i="3"/>
  <c r="E2439" i="3"/>
  <c r="B2439" i="3"/>
  <c r="U2438" i="3"/>
  <c r="K2438" i="3"/>
  <c r="E2438" i="3"/>
  <c r="B2438" i="3"/>
  <c r="U2437" i="3"/>
  <c r="K2437" i="3"/>
  <c r="E2437" i="3"/>
  <c r="B2437" i="3"/>
  <c r="U2436" i="3"/>
  <c r="K2436" i="3"/>
  <c r="E2436" i="3"/>
  <c r="B2436" i="3"/>
  <c r="U2435" i="3"/>
  <c r="K2435" i="3"/>
  <c r="E2435" i="3"/>
  <c r="B2435" i="3"/>
  <c r="U2434" i="3"/>
  <c r="K2434" i="3"/>
  <c r="E2434" i="3"/>
  <c r="B2434" i="3"/>
  <c r="U2433" i="3"/>
  <c r="K2433" i="3"/>
  <c r="E2433" i="3"/>
  <c r="B2433" i="3"/>
  <c r="U2432" i="3"/>
  <c r="K2432" i="3"/>
  <c r="E2432" i="3"/>
  <c r="B2432" i="3"/>
  <c r="U2431" i="3"/>
  <c r="K2431" i="3"/>
  <c r="E2431" i="3"/>
  <c r="B2431" i="3"/>
  <c r="U2430" i="3"/>
  <c r="K2430" i="3"/>
  <c r="E2430" i="3"/>
  <c r="B2430" i="3"/>
  <c r="U2429" i="3"/>
  <c r="K2429" i="3"/>
  <c r="E2429" i="3"/>
  <c r="B2429" i="3"/>
  <c r="U2428" i="3"/>
  <c r="K2428" i="3"/>
  <c r="E2428" i="3"/>
  <c r="B2428" i="3"/>
  <c r="U2427" i="3"/>
  <c r="K2427" i="3"/>
  <c r="E2427" i="3"/>
  <c r="B2427" i="3"/>
  <c r="U2426" i="3"/>
  <c r="K2426" i="3"/>
  <c r="E2426" i="3"/>
  <c r="B2426" i="3"/>
  <c r="U2425" i="3"/>
  <c r="K2425" i="3"/>
  <c r="E2425" i="3"/>
  <c r="B2425" i="3"/>
  <c r="U2424" i="3"/>
  <c r="K2424" i="3"/>
  <c r="E2424" i="3"/>
  <c r="B2424" i="3"/>
  <c r="U2423" i="3"/>
  <c r="K2423" i="3"/>
  <c r="E2423" i="3"/>
  <c r="B2423" i="3"/>
  <c r="U2422" i="3"/>
  <c r="K2422" i="3"/>
  <c r="E2422" i="3"/>
  <c r="B2422" i="3"/>
  <c r="U2421" i="3"/>
  <c r="K2421" i="3"/>
  <c r="E2421" i="3"/>
  <c r="B2421" i="3"/>
  <c r="U2420" i="3"/>
  <c r="K2420" i="3"/>
  <c r="E2420" i="3"/>
  <c r="B2420" i="3"/>
  <c r="U2419" i="3"/>
  <c r="K2419" i="3"/>
  <c r="E2419" i="3"/>
  <c r="B2419" i="3"/>
  <c r="U2418" i="3"/>
  <c r="K2418" i="3"/>
  <c r="E2418" i="3"/>
  <c r="B2418" i="3"/>
  <c r="U2417" i="3"/>
  <c r="K2417" i="3"/>
  <c r="E2417" i="3"/>
  <c r="B2417" i="3"/>
  <c r="U2416" i="3"/>
  <c r="K2416" i="3"/>
  <c r="E2416" i="3"/>
  <c r="B2416" i="3"/>
  <c r="K2415" i="3"/>
  <c r="E2415" i="3"/>
  <c r="B2415" i="3"/>
  <c r="U2414" i="3"/>
  <c r="K2414" i="3"/>
  <c r="E2414" i="3"/>
  <c r="B2414" i="3"/>
  <c r="U2413" i="3"/>
  <c r="K2413" i="3"/>
  <c r="E2413" i="3"/>
  <c r="B2413" i="3"/>
  <c r="U2412" i="3"/>
  <c r="K2412" i="3"/>
  <c r="E2412" i="3"/>
  <c r="B2412" i="3"/>
  <c r="U2411" i="3"/>
  <c r="K2411" i="3"/>
  <c r="E2411" i="3"/>
  <c r="B2411" i="3"/>
  <c r="U2410" i="3"/>
  <c r="K2410" i="3"/>
  <c r="E2410" i="3"/>
  <c r="B2410" i="3"/>
  <c r="U2409" i="3"/>
  <c r="K2409" i="3"/>
  <c r="E2409" i="3"/>
  <c r="B2409" i="3"/>
  <c r="U2408" i="3"/>
  <c r="K2408" i="3"/>
  <c r="E2408" i="3"/>
  <c r="B2408" i="3"/>
  <c r="U2407" i="3"/>
  <c r="K2407" i="3"/>
  <c r="E2407" i="3"/>
  <c r="B2407" i="3"/>
  <c r="U2406" i="3"/>
  <c r="K2406" i="3"/>
  <c r="E2406" i="3"/>
  <c r="B2406" i="3"/>
  <c r="U2405" i="3"/>
  <c r="K2405" i="3"/>
  <c r="E2405" i="3"/>
  <c r="B2405" i="3"/>
  <c r="U2404" i="3"/>
  <c r="K2404" i="3"/>
  <c r="E2404" i="3"/>
  <c r="B2404" i="3"/>
  <c r="U2403" i="3"/>
  <c r="K2403" i="3"/>
  <c r="E2403" i="3"/>
  <c r="B2403" i="3"/>
  <c r="U2402" i="3"/>
  <c r="K2402" i="3"/>
  <c r="E2402" i="3"/>
  <c r="B2402" i="3"/>
  <c r="U2401" i="3"/>
  <c r="K2401" i="3"/>
  <c r="E2401" i="3"/>
  <c r="B2401" i="3"/>
  <c r="U2400" i="3"/>
  <c r="K2400" i="3"/>
  <c r="E2400" i="3"/>
  <c r="B2400" i="3"/>
  <c r="U2399" i="3"/>
  <c r="K2399" i="3"/>
  <c r="E2399" i="3"/>
  <c r="B2399" i="3"/>
  <c r="U2398" i="3"/>
  <c r="K2398" i="3"/>
  <c r="E2398" i="3"/>
  <c r="B2398" i="3"/>
  <c r="U2397" i="3"/>
  <c r="K2397" i="3"/>
  <c r="E2397" i="3"/>
  <c r="B2397" i="3"/>
  <c r="U2396" i="3"/>
  <c r="K2396" i="3"/>
  <c r="E2396" i="3"/>
  <c r="B2396" i="3"/>
  <c r="U2395" i="3"/>
  <c r="K2395" i="3"/>
  <c r="E2395" i="3"/>
  <c r="B2395" i="3"/>
  <c r="U2394" i="3"/>
  <c r="K2394" i="3"/>
  <c r="E2394" i="3"/>
  <c r="B2394" i="3"/>
  <c r="U2393" i="3"/>
  <c r="K2393" i="3"/>
  <c r="E2393" i="3"/>
  <c r="B2393" i="3"/>
  <c r="U2392" i="3"/>
  <c r="K2392" i="3"/>
  <c r="E2392" i="3"/>
  <c r="B2392" i="3"/>
  <c r="U2391" i="3"/>
  <c r="K2391" i="3"/>
  <c r="E2391" i="3"/>
  <c r="B2391" i="3"/>
  <c r="U2390" i="3"/>
  <c r="K2390" i="3"/>
  <c r="E2390" i="3"/>
  <c r="B2390" i="3"/>
  <c r="U2389" i="3"/>
  <c r="K2389" i="3"/>
  <c r="E2389" i="3"/>
  <c r="B2389" i="3"/>
  <c r="U2388" i="3"/>
  <c r="K2388" i="3"/>
  <c r="E2388" i="3"/>
  <c r="B2388" i="3"/>
  <c r="U2387" i="3"/>
  <c r="K2387" i="3"/>
  <c r="E2387" i="3"/>
  <c r="B2387" i="3"/>
  <c r="U2386" i="3"/>
  <c r="K2386" i="3"/>
  <c r="E2386" i="3"/>
  <c r="B2386" i="3"/>
  <c r="U2385" i="3"/>
  <c r="K2385" i="3"/>
  <c r="E2385" i="3"/>
  <c r="B2385" i="3"/>
  <c r="U2384" i="3"/>
  <c r="K2384" i="3"/>
  <c r="E2384" i="3"/>
  <c r="B2384" i="3"/>
  <c r="U2383" i="3"/>
  <c r="K2383" i="3"/>
  <c r="E2383" i="3"/>
  <c r="B2383" i="3"/>
  <c r="U2382" i="3"/>
  <c r="K2382" i="3"/>
  <c r="E2382" i="3"/>
  <c r="B2382" i="3"/>
  <c r="U2381" i="3"/>
  <c r="K2381" i="3"/>
  <c r="E2381" i="3"/>
  <c r="B2381" i="3"/>
  <c r="U2380" i="3"/>
  <c r="K2380" i="3"/>
  <c r="E2380" i="3"/>
  <c r="B2380" i="3"/>
  <c r="U2379" i="3"/>
  <c r="K2379" i="3"/>
  <c r="E2379" i="3"/>
  <c r="B2379" i="3"/>
  <c r="U2378" i="3"/>
  <c r="K2378" i="3"/>
  <c r="E2378" i="3"/>
  <c r="B2378" i="3"/>
  <c r="U2377" i="3"/>
  <c r="K2377" i="3"/>
  <c r="E2377" i="3"/>
  <c r="B2377" i="3"/>
  <c r="U2376" i="3"/>
  <c r="K2376" i="3"/>
  <c r="E2376" i="3"/>
  <c r="B2376" i="3"/>
  <c r="U2375" i="3"/>
  <c r="K2375" i="3"/>
  <c r="E2375" i="3"/>
  <c r="B2375" i="3"/>
  <c r="U2374" i="3"/>
  <c r="K2374" i="3"/>
  <c r="E2374" i="3"/>
  <c r="B2374" i="3"/>
  <c r="U2373" i="3"/>
  <c r="K2373" i="3"/>
  <c r="E2373" i="3"/>
  <c r="B2373" i="3"/>
  <c r="U2372" i="3"/>
  <c r="K2372" i="3"/>
  <c r="E2372" i="3"/>
  <c r="B2372" i="3"/>
  <c r="U2371" i="3"/>
  <c r="K2371" i="3"/>
  <c r="E2371" i="3"/>
  <c r="B2371" i="3"/>
  <c r="U2370" i="3"/>
  <c r="K2370" i="3"/>
  <c r="E2370" i="3"/>
  <c r="B2370" i="3"/>
  <c r="U2369" i="3"/>
  <c r="K2369" i="3"/>
  <c r="E2369" i="3"/>
  <c r="B2369" i="3"/>
  <c r="U2368" i="3"/>
  <c r="K2368" i="3"/>
  <c r="E2368" i="3"/>
  <c r="B2368" i="3"/>
  <c r="U2367" i="3"/>
  <c r="K2367" i="3"/>
  <c r="E2367" i="3"/>
  <c r="B2367" i="3"/>
  <c r="U2366" i="3"/>
  <c r="K2366" i="3"/>
  <c r="E2366" i="3"/>
  <c r="B2366" i="3"/>
  <c r="U2365" i="3"/>
  <c r="K2365" i="3"/>
  <c r="E2365" i="3"/>
  <c r="B2365" i="3"/>
  <c r="U2364" i="3"/>
  <c r="K2364" i="3"/>
  <c r="E2364" i="3"/>
  <c r="B2364" i="3"/>
  <c r="U2363" i="3"/>
  <c r="K2363" i="3"/>
  <c r="E2363" i="3"/>
  <c r="B2363" i="3"/>
  <c r="U2362" i="3"/>
  <c r="K2362" i="3"/>
  <c r="E2362" i="3"/>
  <c r="B2362" i="3"/>
  <c r="U2361" i="3"/>
  <c r="K2361" i="3"/>
  <c r="E2361" i="3"/>
  <c r="B2361" i="3"/>
  <c r="U2360" i="3"/>
  <c r="K2360" i="3"/>
  <c r="E2360" i="3"/>
  <c r="B2360" i="3"/>
  <c r="U2359" i="3"/>
  <c r="K2359" i="3"/>
  <c r="E2359" i="3"/>
  <c r="B2359" i="3"/>
  <c r="U2358" i="3"/>
  <c r="K2358" i="3"/>
  <c r="E2358" i="3"/>
  <c r="B2358" i="3"/>
  <c r="U2357" i="3"/>
  <c r="K2357" i="3"/>
  <c r="E2357" i="3"/>
  <c r="B2357" i="3"/>
  <c r="U2356" i="3"/>
  <c r="K2356" i="3"/>
  <c r="E2356" i="3"/>
  <c r="B2356" i="3"/>
  <c r="U2355" i="3"/>
  <c r="K2355" i="3"/>
  <c r="E2355" i="3"/>
  <c r="B2355" i="3"/>
  <c r="U2354" i="3"/>
  <c r="K2354" i="3"/>
  <c r="E2354" i="3"/>
  <c r="B2354" i="3"/>
  <c r="U2353" i="3"/>
  <c r="K2353" i="3"/>
  <c r="E2353" i="3"/>
  <c r="B2353" i="3"/>
  <c r="U2352" i="3"/>
  <c r="K2352" i="3"/>
  <c r="E2352" i="3"/>
  <c r="B2352" i="3"/>
  <c r="U2351" i="3"/>
  <c r="K2351" i="3"/>
  <c r="E2351" i="3"/>
  <c r="B2351" i="3"/>
  <c r="U2350" i="3"/>
  <c r="K2350" i="3"/>
  <c r="E2350" i="3"/>
  <c r="B2350" i="3"/>
  <c r="U2349" i="3"/>
  <c r="K2349" i="3"/>
  <c r="E2349" i="3"/>
  <c r="B2349" i="3"/>
  <c r="U2348" i="3"/>
  <c r="K2348" i="3"/>
  <c r="E2348" i="3"/>
  <c r="B2348" i="3"/>
  <c r="U2347" i="3"/>
  <c r="K2347" i="3"/>
  <c r="E2347" i="3"/>
  <c r="B2347" i="3"/>
  <c r="U2346" i="3"/>
  <c r="K2346" i="3"/>
  <c r="E2346" i="3"/>
  <c r="B2346" i="3"/>
  <c r="U2345" i="3"/>
  <c r="K2345" i="3"/>
  <c r="E2345" i="3"/>
  <c r="B2345" i="3"/>
  <c r="U2344" i="3"/>
  <c r="K2344" i="3"/>
  <c r="E2344" i="3"/>
  <c r="B2344" i="3"/>
  <c r="U2343" i="3"/>
  <c r="K2343" i="3"/>
  <c r="E2343" i="3"/>
  <c r="B2343" i="3"/>
  <c r="U2342" i="3"/>
  <c r="K2342" i="3"/>
  <c r="E2342" i="3"/>
  <c r="B2342" i="3"/>
  <c r="U2341" i="3"/>
  <c r="K2341" i="3"/>
  <c r="E2341" i="3"/>
  <c r="B2341" i="3"/>
  <c r="U2340" i="3"/>
  <c r="K2340" i="3"/>
  <c r="E2340" i="3"/>
  <c r="B2340" i="3"/>
  <c r="U2339" i="3"/>
  <c r="K2339" i="3"/>
  <c r="E2339" i="3"/>
  <c r="B2339" i="3"/>
  <c r="U2338" i="3"/>
  <c r="K2338" i="3"/>
  <c r="E2338" i="3"/>
  <c r="B2338" i="3"/>
  <c r="U2337" i="3"/>
  <c r="K2337" i="3"/>
  <c r="E2337" i="3"/>
  <c r="B2337" i="3"/>
  <c r="U2336" i="3"/>
  <c r="K2336" i="3"/>
  <c r="E2336" i="3"/>
  <c r="B2336" i="3"/>
  <c r="U2335" i="3"/>
  <c r="K2335" i="3"/>
  <c r="E2335" i="3"/>
  <c r="B2335" i="3"/>
  <c r="U2334" i="3"/>
  <c r="K2334" i="3"/>
  <c r="E2334" i="3"/>
  <c r="B2334" i="3"/>
  <c r="U2333" i="3"/>
  <c r="K2333" i="3"/>
  <c r="E2333" i="3"/>
  <c r="B2333" i="3"/>
  <c r="U2332" i="3"/>
  <c r="K2332" i="3"/>
  <c r="E2332" i="3"/>
  <c r="B2332" i="3"/>
  <c r="U2331" i="3"/>
  <c r="K2331" i="3"/>
  <c r="E2331" i="3"/>
  <c r="B2331" i="3"/>
  <c r="U2330" i="3"/>
  <c r="K2330" i="3"/>
  <c r="E2330" i="3"/>
  <c r="B2330" i="3"/>
  <c r="U2329" i="3"/>
  <c r="K2329" i="3"/>
  <c r="E2329" i="3"/>
  <c r="B2329" i="3"/>
  <c r="U2328" i="3"/>
  <c r="K2328" i="3"/>
  <c r="E2328" i="3"/>
  <c r="B2328" i="3"/>
  <c r="U2327" i="3"/>
  <c r="K2327" i="3"/>
  <c r="E2327" i="3"/>
  <c r="B2327" i="3"/>
  <c r="U2326" i="3"/>
  <c r="K2326" i="3"/>
  <c r="E2326" i="3"/>
  <c r="B2326" i="3"/>
  <c r="U2325" i="3"/>
  <c r="K2325" i="3"/>
  <c r="E2325" i="3"/>
  <c r="B2325" i="3"/>
  <c r="U2324" i="3"/>
  <c r="K2324" i="3"/>
  <c r="E2324" i="3"/>
  <c r="B2324" i="3"/>
  <c r="U2323" i="3"/>
  <c r="K2323" i="3"/>
  <c r="E2323" i="3"/>
  <c r="B2323" i="3"/>
  <c r="U2322" i="3"/>
  <c r="K2322" i="3"/>
  <c r="E2322" i="3"/>
  <c r="B2322" i="3"/>
  <c r="U2321" i="3"/>
  <c r="K2321" i="3"/>
  <c r="E2321" i="3"/>
  <c r="B2321" i="3"/>
  <c r="U2320" i="3"/>
  <c r="K2320" i="3"/>
  <c r="E2320" i="3"/>
  <c r="B2320" i="3"/>
  <c r="U2319" i="3"/>
  <c r="K2319" i="3"/>
  <c r="E2319" i="3"/>
  <c r="B2319" i="3"/>
  <c r="U2318" i="3"/>
  <c r="K2318" i="3"/>
  <c r="E2318" i="3"/>
  <c r="B2318" i="3"/>
  <c r="U2317" i="3"/>
  <c r="K2317" i="3"/>
  <c r="E2317" i="3"/>
  <c r="B2317" i="3"/>
  <c r="U2316" i="3"/>
  <c r="K2316" i="3"/>
  <c r="E2316" i="3"/>
  <c r="B2316" i="3"/>
  <c r="U2315" i="3"/>
  <c r="K2315" i="3"/>
  <c r="E2315" i="3"/>
  <c r="B2315" i="3"/>
  <c r="U2314" i="3"/>
  <c r="K2314" i="3"/>
  <c r="E2314" i="3"/>
  <c r="B2314" i="3"/>
  <c r="U2313" i="3"/>
  <c r="K2313" i="3"/>
  <c r="E2313" i="3"/>
  <c r="B2313" i="3"/>
  <c r="U2312" i="3"/>
  <c r="K2312" i="3"/>
  <c r="E2312" i="3"/>
  <c r="B2312" i="3"/>
  <c r="U2311" i="3"/>
  <c r="K2311" i="3"/>
  <c r="E2311" i="3"/>
  <c r="B2311" i="3"/>
  <c r="U2310" i="3"/>
  <c r="K2310" i="3"/>
  <c r="E2310" i="3"/>
  <c r="B2310" i="3"/>
  <c r="U2309" i="3"/>
  <c r="K2309" i="3"/>
  <c r="E2309" i="3"/>
  <c r="B2309" i="3"/>
  <c r="U2308" i="3"/>
  <c r="K2308" i="3"/>
  <c r="E2308" i="3"/>
  <c r="B2308" i="3"/>
  <c r="U2307" i="3"/>
  <c r="K2307" i="3"/>
  <c r="E2307" i="3"/>
  <c r="B2307" i="3"/>
  <c r="U2306" i="3"/>
  <c r="K2306" i="3"/>
  <c r="E2306" i="3"/>
  <c r="B2306" i="3"/>
  <c r="U2305" i="3"/>
  <c r="K2305" i="3"/>
  <c r="E2305" i="3"/>
  <c r="B2305" i="3"/>
  <c r="U2304" i="3"/>
  <c r="K2304" i="3"/>
  <c r="E2304" i="3"/>
  <c r="B2304" i="3"/>
  <c r="U2303" i="3"/>
  <c r="K2303" i="3"/>
  <c r="E2303" i="3"/>
  <c r="B2303" i="3"/>
  <c r="U2302" i="3"/>
  <c r="K2302" i="3"/>
  <c r="E2302" i="3"/>
  <c r="B2302" i="3"/>
  <c r="U2301" i="3"/>
  <c r="K2301" i="3"/>
  <c r="E2301" i="3"/>
  <c r="B2301" i="3"/>
  <c r="U2300" i="3"/>
  <c r="K2300" i="3"/>
  <c r="E2300" i="3"/>
  <c r="B2300" i="3"/>
  <c r="U2299" i="3"/>
  <c r="K2299" i="3"/>
  <c r="E2299" i="3"/>
  <c r="B2299" i="3"/>
  <c r="U2298" i="3"/>
  <c r="K2298" i="3"/>
  <c r="E2298" i="3"/>
  <c r="B2298" i="3"/>
  <c r="U2297" i="3"/>
  <c r="K2297" i="3"/>
  <c r="E2297" i="3"/>
  <c r="B2297" i="3"/>
  <c r="U2296" i="3"/>
  <c r="K2296" i="3"/>
  <c r="E2296" i="3"/>
  <c r="B2296" i="3"/>
  <c r="U2295" i="3"/>
  <c r="K2295" i="3"/>
  <c r="E2295" i="3"/>
  <c r="B2295" i="3"/>
  <c r="U2294" i="3"/>
  <c r="K2294" i="3"/>
  <c r="E2294" i="3"/>
  <c r="B2294" i="3"/>
  <c r="U2293" i="3"/>
  <c r="K2293" i="3"/>
  <c r="E2293" i="3"/>
  <c r="B2293" i="3"/>
  <c r="U2292" i="3"/>
  <c r="K2292" i="3"/>
  <c r="E2292" i="3"/>
  <c r="B2292" i="3"/>
  <c r="U2291" i="3"/>
  <c r="K2291" i="3"/>
  <c r="E2291" i="3"/>
  <c r="B2291" i="3"/>
  <c r="U2290" i="3"/>
  <c r="K2290" i="3"/>
  <c r="E2290" i="3"/>
  <c r="B2290" i="3"/>
  <c r="U2289" i="3"/>
  <c r="K2289" i="3"/>
  <c r="E2289" i="3"/>
  <c r="B2289" i="3"/>
  <c r="U2288" i="3"/>
  <c r="K2288" i="3"/>
  <c r="E2288" i="3"/>
  <c r="B2288" i="3"/>
  <c r="U2287" i="3"/>
  <c r="K2287" i="3"/>
  <c r="E2287" i="3"/>
  <c r="B2287" i="3"/>
  <c r="U2286" i="3"/>
  <c r="K2286" i="3"/>
  <c r="E2286" i="3"/>
  <c r="B2286" i="3"/>
  <c r="U2285" i="3"/>
  <c r="K2285" i="3"/>
  <c r="E2285" i="3"/>
  <c r="B2285" i="3"/>
  <c r="U2284" i="3"/>
  <c r="K2284" i="3"/>
  <c r="E2284" i="3"/>
  <c r="B2284" i="3"/>
  <c r="U2283" i="3"/>
  <c r="K2283" i="3"/>
  <c r="E2283" i="3"/>
  <c r="B2283" i="3"/>
  <c r="U2282" i="3"/>
  <c r="K2282" i="3"/>
  <c r="E2282" i="3"/>
  <c r="B2282" i="3"/>
  <c r="U2281" i="3"/>
  <c r="K2281" i="3"/>
  <c r="E2281" i="3"/>
  <c r="B2281" i="3"/>
  <c r="U2280" i="3"/>
  <c r="K2280" i="3"/>
  <c r="E2280" i="3"/>
  <c r="B2280" i="3"/>
  <c r="U2279" i="3"/>
  <c r="K2279" i="3"/>
  <c r="E2279" i="3"/>
  <c r="B2279" i="3"/>
  <c r="U2278" i="3"/>
  <c r="K2278" i="3"/>
  <c r="E2278" i="3"/>
  <c r="B2278" i="3"/>
  <c r="U2277" i="3"/>
  <c r="K2277" i="3"/>
  <c r="E2277" i="3"/>
  <c r="B2277" i="3"/>
  <c r="U2276" i="3"/>
  <c r="K2276" i="3"/>
  <c r="E2276" i="3"/>
  <c r="B2276" i="3"/>
  <c r="U2275" i="3"/>
  <c r="K2275" i="3"/>
  <c r="E2275" i="3"/>
  <c r="B2275" i="3"/>
  <c r="U2274" i="3"/>
  <c r="K2274" i="3"/>
  <c r="E2274" i="3"/>
  <c r="B2274" i="3"/>
  <c r="U2273" i="3"/>
  <c r="K2273" i="3"/>
  <c r="E2273" i="3"/>
  <c r="B2273" i="3"/>
  <c r="U2272" i="3"/>
  <c r="K2272" i="3"/>
  <c r="E2272" i="3"/>
  <c r="B2272" i="3"/>
  <c r="U2271" i="3"/>
  <c r="K2271" i="3"/>
  <c r="E2271" i="3"/>
  <c r="B2271" i="3"/>
  <c r="U2270" i="3"/>
  <c r="K2270" i="3"/>
  <c r="E2270" i="3"/>
  <c r="B2270" i="3"/>
  <c r="U2269" i="3"/>
  <c r="K2269" i="3"/>
  <c r="E2269" i="3"/>
  <c r="B2269" i="3"/>
  <c r="U2268" i="3"/>
  <c r="K2268" i="3"/>
  <c r="E2268" i="3"/>
  <c r="B2268" i="3"/>
  <c r="U2267" i="3"/>
  <c r="K2267" i="3"/>
  <c r="E2267" i="3"/>
  <c r="B2267" i="3"/>
  <c r="U2266" i="3"/>
  <c r="K2266" i="3"/>
  <c r="E2266" i="3"/>
  <c r="B2266" i="3"/>
  <c r="U2265" i="3"/>
  <c r="K2265" i="3"/>
  <c r="E2265" i="3"/>
  <c r="B2265" i="3"/>
  <c r="U2264" i="3"/>
  <c r="K2264" i="3"/>
  <c r="E2264" i="3"/>
  <c r="B2264" i="3"/>
  <c r="U2263" i="3"/>
  <c r="K2263" i="3"/>
  <c r="E2263" i="3"/>
  <c r="B2263" i="3"/>
  <c r="U2262" i="3"/>
  <c r="K2262" i="3"/>
  <c r="E2262" i="3"/>
  <c r="B2262" i="3"/>
  <c r="U2261" i="3"/>
  <c r="K2261" i="3"/>
  <c r="E2261" i="3"/>
  <c r="B2261" i="3"/>
  <c r="U2260" i="3"/>
  <c r="K2260" i="3"/>
  <c r="E2260" i="3"/>
  <c r="B2260" i="3"/>
  <c r="U2259" i="3"/>
  <c r="K2259" i="3"/>
  <c r="E2259" i="3"/>
  <c r="B2259" i="3"/>
  <c r="U2258" i="3"/>
  <c r="K2258" i="3"/>
  <c r="E2258" i="3"/>
  <c r="B2258" i="3"/>
  <c r="U2257" i="3"/>
  <c r="K2257" i="3"/>
  <c r="E2257" i="3"/>
  <c r="B2257" i="3"/>
  <c r="U2256" i="3"/>
  <c r="K2256" i="3"/>
  <c r="E2256" i="3"/>
  <c r="B2256" i="3"/>
  <c r="U2255" i="3"/>
  <c r="K2255" i="3"/>
  <c r="E2255" i="3"/>
  <c r="B2255" i="3"/>
  <c r="K2254" i="3"/>
  <c r="E2254" i="3"/>
  <c r="B2254" i="3"/>
  <c r="U2253" i="3"/>
  <c r="K2253" i="3"/>
  <c r="E2253" i="3"/>
  <c r="B2253" i="3"/>
  <c r="U2252" i="3"/>
  <c r="K2252" i="3"/>
  <c r="E2252" i="3"/>
  <c r="B2252" i="3"/>
  <c r="U2251" i="3"/>
  <c r="K2251" i="3"/>
  <c r="E2251" i="3"/>
  <c r="B2251" i="3"/>
  <c r="U2250" i="3"/>
  <c r="K2250" i="3"/>
  <c r="E2250" i="3"/>
  <c r="B2250" i="3"/>
  <c r="U2249" i="3"/>
  <c r="K2249" i="3"/>
  <c r="E2249" i="3"/>
  <c r="B2249" i="3"/>
  <c r="U2248" i="3"/>
  <c r="K2248" i="3"/>
  <c r="E2248" i="3"/>
  <c r="B2248" i="3"/>
  <c r="U2247" i="3"/>
  <c r="K2247" i="3"/>
  <c r="E2247" i="3"/>
  <c r="B2247" i="3"/>
  <c r="U2246" i="3"/>
  <c r="K2246" i="3"/>
  <c r="E2246" i="3"/>
  <c r="B2246" i="3"/>
  <c r="U2245" i="3"/>
  <c r="K2245" i="3"/>
  <c r="E2245" i="3"/>
  <c r="B2245" i="3"/>
  <c r="U2244" i="3"/>
  <c r="K2244" i="3"/>
  <c r="E2244" i="3"/>
  <c r="B2244" i="3"/>
  <c r="U2243" i="3"/>
  <c r="K2243" i="3"/>
  <c r="E2243" i="3"/>
  <c r="B2243" i="3"/>
  <c r="U2242" i="3"/>
  <c r="K2242" i="3"/>
  <c r="E2242" i="3"/>
  <c r="B2242" i="3"/>
  <c r="U2241" i="3"/>
  <c r="K2241" i="3"/>
  <c r="E2241" i="3"/>
  <c r="B2241" i="3"/>
  <c r="U2240" i="3"/>
  <c r="K2240" i="3"/>
  <c r="E2240" i="3"/>
  <c r="B2240" i="3"/>
  <c r="U2239" i="3"/>
  <c r="K2239" i="3"/>
  <c r="E2239" i="3"/>
  <c r="B2239" i="3"/>
  <c r="U2238" i="3"/>
  <c r="K2238" i="3"/>
  <c r="E2238" i="3"/>
  <c r="B2238" i="3"/>
  <c r="U2237" i="3"/>
  <c r="K2237" i="3"/>
  <c r="E2237" i="3"/>
  <c r="B2237" i="3"/>
  <c r="U2236" i="3"/>
  <c r="K2236" i="3"/>
  <c r="E2236" i="3"/>
  <c r="B2236" i="3"/>
  <c r="U2235" i="3"/>
  <c r="K2235" i="3"/>
  <c r="E2235" i="3"/>
  <c r="B2235" i="3"/>
  <c r="U2234" i="3"/>
  <c r="K2234" i="3"/>
  <c r="E2234" i="3"/>
  <c r="B2234" i="3"/>
  <c r="U2233" i="3"/>
  <c r="K2233" i="3"/>
  <c r="E2233" i="3"/>
  <c r="B2233" i="3"/>
  <c r="U2232" i="3"/>
  <c r="K2232" i="3"/>
  <c r="E2232" i="3"/>
  <c r="B2232" i="3"/>
  <c r="U2231" i="3"/>
  <c r="K2231" i="3"/>
  <c r="E2231" i="3"/>
  <c r="B2231" i="3"/>
  <c r="U2230" i="3"/>
  <c r="K2230" i="3"/>
  <c r="E2230" i="3"/>
  <c r="B2230" i="3"/>
  <c r="U2229" i="3"/>
  <c r="K2229" i="3"/>
  <c r="E2229" i="3"/>
  <c r="B2229" i="3"/>
  <c r="U2228" i="3"/>
  <c r="K2228" i="3"/>
  <c r="E2228" i="3"/>
  <c r="B2228" i="3"/>
  <c r="U2227" i="3"/>
  <c r="K2227" i="3"/>
  <c r="E2227" i="3"/>
  <c r="B2227" i="3"/>
  <c r="U2226" i="3"/>
  <c r="K2226" i="3"/>
  <c r="E2226" i="3"/>
  <c r="B2226" i="3"/>
  <c r="U2225" i="3"/>
  <c r="K2225" i="3"/>
  <c r="E2225" i="3"/>
  <c r="B2225" i="3"/>
  <c r="U2224" i="3"/>
  <c r="K2224" i="3"/>
  <c r="E2224" i="3"/>
  <c r="B2224" i="3"/>
  <c r="U2223" i="3"/>
  <c r="K2223" i="3"/>
  <c r="E2223" i="3"/>
  <c r="B2223" i="3"/>
  <c r="U2222" i="3"/>
  <c r="K2222" i="3"/>
  <c r="E2222" i="3"/>
  <c r="B2222" i="3"/>
  <c r="U2221" i="3"/>
  <c r="K2221" i="3"/>
  <c r="E2221" i="3"/>
  <c r="B2221" i="3"/>
  <c r="U2220" i="3"/>
  <c r="K2220" i="3"/>
  <c r="E2220" i="3"/>
  <c r="B2220" i="3"/>
  <c r="U2219" i="3"/>
  <c r="K2219" i="3"/>
  <c r="E2219" i="3"/>
  <c r="B2219" i="3"/>
  <c r="U2218" i="3"/>
  <c r="K2218" i="3"/>
  <c r="E2218" i="3"/>
  <c r="B2218" i="3"/>
  <c r="U2217" i="3"/>
  <c r="K2217" i="3"/>
  <c r="E2217" i="3"/>
  <c r="B2217" i="3"/>
  <c r="U2216" i="3"/>
  <c r="K2216" i="3"/>
  <c r="E2216" i="3"/>
  <c r="B2216" i="3"/>
  <c r="U2215" i="3"/>
  <c r="K2215" i="3"/>
  <c r="E2215" i="3"/>
  <c r="B2215" i="3"/>
  <c r="U2214" i="3"/>
  <c r="K2214" i="3"/>
  <c r="E2214" i="3"/>
  <c r="B2214" i="3"/>
  <c r="U2213" i="3"/>
  <c r="K2213" i="3"/>
  <c r="E2213" i="3"/>
  <c r="B2213" i="3"/>
  <c r="U2212" i="3"/>
  <c r="K2212" i="3"/>
  <c r="E2212" i="3"/>
  <c r="B2212" i="3"/>
  <c r="U2211" i="3"/>
  <c r="K2211" i="3"/>
  <c r="E2211" i="3"/>
  <c r="B2211" i="3"/>
  <c r="U2210" i="3"/>
  <c r="K2210" i="3"/>
  <c r="E2210" i="3"/>
  <c r="B2210" i="3"/>
  <c r="U2209" i="3"/>
  <c r="K2209" i="3"/>
  <c r="E2209" i="3"/>
  <c r="B2209" i="3"/>
  <c r="U2208" i="3"/>
  <c r="K2208" i="3"/>
  <c r="E2208" i="3"/>
  <c r="B2208" i="3"/>
  <c r="U2207" i="3"/>
  <c r="K2207" i="3"/>
  <c r="E2207" i="3"/>
  <c r="B2207" i="3"/>
  <c r="U2206" i="3"/>
  <c r="K2206" i="3"/>
  <c r="E2206" i="3"/>
  <c r="B2206" i="3"/>
  <c r="U2205" i="3"/>
  <c r="K2205" i="3"/>
  <c r="E2205" i="3"/>
  <c r="B2205" i="3"/>
  <c r="U2204" i="3"/>
  <c r="K2204" i="3"/>
  <c r="E2204" i="3"/>
  <c r="B2204" i="3"/>
  <c r="U2203" i="3"/>
  <c r="K2203" i="3"/>
  <c r="E2203" i="3"/>
  <c r="B2203" i="3"/>
  <c r="U2202" i="3"/>
  <c r="K2202" i="3"/>
  <c r="E2202" i="3"/>
  <c r="B2202" i="3"/>
  <c r="U2201" i="3"/>
  <c r="K2201" i="3"/>
  <c r="E2201" i="3"/>
  <c r="B2201" i="3"/>
  <c r="U2200" i="3"/>
  <c r="K2200" i="3"/>
  <c r="E2200" i="3"/>
  <c r="B2200" i="3"/>
  <c r="U2199" i="3"/>
  <c r="K2199" i="3"/>
  <c r="E2199" i="3"/>
  <c r="B2199" i="3"/>
  <c r="U2198" i="3"/>
  <c r="K2198" i="3"/>
  <c r="E2198" i="3"/>
  <c r="B2198" i="3"/>
  <c r="U2197" i="3"/>
  <c r="K2197" i="3"/>
  <c r="E2197" i="3"/>
  <c r="B2197" i="3"/>
  <c r="U2196" i="3"/>
  <c r="K2196" i="3"/>
  <c r="E2196" i="3"/>
  <c r="B2196" i="3"/>
  <c r="U2195" i="3"/>
  <c r="K2195" i="3"/>
  <c r="E2195" i="3"/>
  <c r="B2195" i="3"/>
  <c r="U2194" i="3"/>
  <c r="K2194" i="3"/>
  <c r="E2194" i="3"/>
  <c r="B2194" i="3"/>
  <c r="U2193" i="3"/>
  <c r="K2193" i="3"/>
  <c r="E2193" i="3"/>
  <c r="B2193" i="3"/>
  <c r="U2192" i="3"/>
  <c r="K2192" i="3"/>
  <c r="E2192" i="3"/>
  <c r="B2192" i="3"/>
  <c r="U2191" i="3"/>
  <c r="K2191" i="3"/>
  <c r="E2191" i="3"/>
  <c r="B2191" i="3"/>
  <c r="U2190" i="3"/>
  <c r="K2190" i="3"/>
  <c r="E2190" i="3"/>
  <c r="B2190" i="3"/>
  <c r="U2189" i="3"/>
  <c r="K2189" i="3"/>
  <c r="E2189" i="3"/>
  <c r="B2189" i="3"/>
  <c r="U2188" i="3"/>
  <c r="K2188" i="3"/>
  <c r="E2188" i="3"/>
  <c r="B2188" i="3"/>
  <c r="U2187" i="3"/>
  <c r="K2187" i="3"/>
  <c r="E2187" i="3"/>
  <c r="B2187" i="3"/>
  <c r="U2186" i="3"/>
  <c r="K2186" i="3"/>
  <c r="E2186" i="3"/>
  <c r="B2186" i="3"/>
  <c r="U2185" i="3"/>
  <c r="K2185" i="3"/>
  <c r="E2185" i="3"/>
  <c r="B2185" i="3"/>
  <c r="U2184" i="3"/>
  <c r="K2184" i="3"/>
  <c r="E2184" i="3"/>
  <c r="B2184" i="3"/>
  <c r="U2183" i="3"/>
  <c r="K2183" i="3"/>
  <c r="E2183" i="3"/>
  <c r="B2183" i="3"/>
  <c r="U2182" i="3"/>
  <c r="K2182" i="3"/>
  <c r="E2182" i="3"/>
  <c r="B2182" i="3"/>
  <c r="U2181" i="3"/>
  <c r="K2181" i="3"/>
  <c r="E2181" i="3"/>
  <c r="B2181" i="3"/>
  <c r="U2180" i="3"/>
  <c r="K2180" i="3"/>
  <c r="E2180" i="3"/>
  <c r="B2180" i="3"/>
  <c r="U2179" i="3"/>
  <c r="K2179" i="3"/>
  <c r="E2179" i="3"/>
  <c r="B2179" i="3"/>
  <c r="U2178" i="3"/>
  <c r="K2178" i="3"/>
  <c r="E2178" i="3"/>
  <c r="B2178" i="3"/>
  <c r="U2177" i="3"/>
  <c r="K2177" i="3"/>
  <c r="E2177" i="3"/>
  <c r="B2177" i="3"/>
  <c r="U2176" i="3"/>
  <c r="K2176" i="3"/>
  <c r="E2176" i="3"/>
  <c r="B2176" i="3"/>
  <c r="U2175" i="3"/>
  <c r="K2175" i="3"/>
  <c r="E2175" i="3"/>
  <c r="B2175" i="3"/>
  <c r="U2174" i="3"/>
  <c r="K2174" i="3"/>
  <c r="E2174" i="3"/>
  <c r="B2174" i="3"/>
  <c r="U2173" i="3"/>
  <c r="K2173" i="3"/>
  <c r="E2173" i="3"/>
  <c r="B2173" i="3"/>
  <c r="U2172" i="3"/>
  <c r="K2172" i="3"/>
  <c r="E2172" i="3"/>
  <c r="B2172" i="3"/>
  <c r="U2171" i="3"/>
  <c r="K2171" i="3"/>
  <c r="E2171" i="3"/>
  <c r="B2171" i="3"/>
  <c r="U2170" i="3"/>
  <c r="K2170" i="3"/>
  <c r="E2170" i="3"/>
  <c r="B2170" i="3"/>
  <c r="U2169" i="3"/>
  <c r="K2169" i="3"/>
  <c r="E2169" i="3"/>
  <c r="B2169" i="3"/>
  <c r="U2168" i="3"/>
  <c r="K2168" i="3"/>
  <c r="E2168" i="3"/>
  <c r="B2168" i="3"/>
  <c r="U2167" i="3"/>
  <c r="K2167" i="3"/>
  <c r="E2167" i="3"/>
  <c r="B2167" i="3"/>
  <c r="U2166" i="3"/>
  <c r="K2166" i="3"/>
  <c r="E2166" i="3"/>
  <c r="B2166" i="3"/>
  <c r="U2165" i="3"/>
  <c r="K2165" i="3"/>
  <c r="E2165" i="3"/>
  <c r="B2165" i="3"/>
  <c r="U2164" i="3"/>
  <c r="K2164" i="3"/>
  <c r="E2164" i="3"/>
  <c r="B2164" i="3"/>
  <c r="U2163" i="3"/>
  <c r="K2163" i="3"/>
  <c r="E2163" i="3"/>
  <c r="B2163" i="3"/>
  <c r="U2162" i="3"/>
  <c r="K2162" i="3"/>
  <c r="E2162" i="3"/>
  <c r="B2162" i="3"/>
  <c r="U2161" i="3"/>
  <c r="K2161" i="3"/>
  <c r="E2161" i="3"/>
  <c r="B2161" i="3"/>
  <c r="U2160" i="3"/>
  <c r="K2160" i="3"/>
  <c r="E2160" i="3"/>
  <c r="B2160" i="3"/>
  <c r="U2159" i="3"/>
  <c r="K2159" i="3"/>
  <c r="E2159" i="3"/>
  <c r="B2159" i="3"/>
  <c r="U2158" i="3"/>
  <c r="K2158" i="3"/>
  <c r="E2158" i="3"/>
  <c r="B2158" i="3"/>
  <c r="U2157" i="3"/>
  <c r="K2157" i="3"/>
  <c r="E2157" i="3"/>
  <c r="B2157" i="3"/>
  <c r="U2156" i="3"/>
  <c r="K2156" i="3"/>
  <c r="E2156" i="3"/>
  <c r="B2156" i="3"/>
  <c r="U2155" i="3"/>
  <c r="K2155" i="3"/>
  <c r="E2155" i="3"/>
  <c r="B2155" i="3"/>
  <c r="U2154" i="3"/>
  <c r="K2154" i="3"/>
  <c r="E2154" i="3"/>
  <c r="B2154" i="3"/>
  <c r="U2153" i="3"/>
  <c r="K2153" i="3"/>
  <c r="E2153" i="3"/>
  <c r="B2153" i="3"/>
  <c r="U2152" i="3"/>
  <c r="K2152" i="3"/>
  <c r="E2152" i="3"/>
  <c r="B2152" i="3"/>
  <c r="U2151" i="3"/>
  <c r="K2151" i="3"/>
  <c r="E2151" i="3"/>
  <c r="B2151" i="3"/>
  <c r="U2150" i="3"/>
  <c r="K2150" i="3"/>
  <c r="E2150" i="3"/>
  <c r="B2150" i="3"/>
  <c r="U2149" i="3"/>
  <c r="K2149" i="3"/>
  <c r="E2149" i="3"/>
  <c r="B2149" i="3"/>
  <c r="U2148" i="3"/>
  <c r="K2148" i="3"/>
  <c r="E2148" i="3"/>
  <c r="B2148" i="3"/>
  <c r="U2147" i="3"/>
  <c r="K2147" i="3"/>
  <c r="E2147" i="3"/>
  <c r="B2147" i="3"/>
  <c r="U2146" i="3"/>
  <c r="K2146" i="3"/>
  <c r="E2146" i="3"/>
  <c r="B2146" i="3"/>
  <c r="U2145" i="3"/>
  <c r="K2145" i="3"/>
  <c r="E2145" i="3"/>
  <c r="B2145" i="3"/>
  <c r="U2144" i="3"/>
  <c r="K2144" i="3"/>
  <c r="E2144" i="3"/>
  <c r="B2144" i="3"/>
  <c r="U2143" i="3"/>
  <c r="K2143" i="3"/>
  <c r="E2143" i="3"/>
  <c r="B2143" i="3"/>
  <c r="U2142" i="3"/>
  <c r="K2142" i="3"/>
  <c r="E2142" i="3"/>
  <c r="B2142" i="3"/>
  <c r="U2141" i="3"/>
  <c r="K2141" i="3"/>
  <c r="E2141" i="3"/>
  <c r="B2141" i="3"/>
  <c r="U2140" i="3"/>
  <c r="K2140" i="3"/>
  <c r="E2140" i="3"/>
  <c r="B2140" i="3"/>
  <c r="U2139" i="3"/>
  <c r="K2139" i="3"/>
  <c r="E2139" i="3"/>
  <c r="B2139" i="3"/>
  <c r="U2138" i="3"/>
  <c r="K2138" i="3"/>
  <c r="E2138" i="3"/>
  <c r="B2138" i="3"/>
  <c r="U2137" i="3"/>
  <c r="K2137" i="3"/>
  <c r="E2137" i="3"/>
  <c r="B2137" i="3"/>
  <c r="U2136" i="3"/>
  <c r="K2136" i="3"/>
  <c r="E2136" i="3"/>
  <c r="B2136" i="3"/>
  <c r="U2135" i="3"/>
  <c r="K2135" i="3"/>
  <c r="E2135" i="3"/>
  <c r="B2135" i="3"/>
  <c r="U2134" i="3"/>
  <c r="K2134" i="3"/>
  <c r="E2134" i="3"/>
  <c r="B2134" i="3"/>
  <c r="U2133" i="3"/>
  <c r="K2133" i="3"/>
  <c r="E2133" i="3"/>
  <c r="B2133" i="3"/>
  <c r="U2132" i="3"/>
  <c r="K2132" i="3"/>
  <c r="E2132" i="3"/>
  <c r="B2132" i="3"/>
  <c r="U2131" i="3"/>
  <c r="K2131" i="3"/>
  <c r="E2131" i="3"/>
  <c r="B2131" i="3"/>
  <c r="U2130" i="3"/>
  <c r="K2130" i="3"/>
  <c r="E2130" i="3"/>
  <c r="B2130" i="3"/>
  <c r="U2129" i="3"/>
  <c r="K2129" i="3"/>
  <c r="E2129" i="3"/>
  <c r="B2129" i="3"/>
  <c r="U2128" i="3"/>
  <c r="K2128" i="3"/>
  <c r="E2128" i="3"/>
  <c r="B2128" i="3"/>
  <c r="U2127" i="3"/>
  <c r="K2127" i="3"/>
  <c r="E2127" i="3"/>
  <c r="B2127" i="3"/>
  <c r="U2126" i="3"/>
  <c r="K2126" i="3"/>
  <c r="E2126" i="3"/>
  <c r="B2126" i="3"/>
  <c r="U2125" i="3"/>
  <c r="K2125" i="3"/>
  <c r="E2125" i="3"/>
  <c r="B2125" i="3"/>
  <c r="U2124" i="3"/>
  <c r="K2124" i="3"/>
  <c r="E2124" i="3"/>
  <c r="B2124" i="3"/>
  <c r="U2123" i="3"/>
  <c r="K2123" i="3"/>
  <c r="E2123" i="3"/>
  <c r="B2123" i="3"/>
  <c r="U2122" i="3"/>
  <c r="K2122" i="3"/>
  <c r="E2122" i="3"/>
  <c r="B2122" i="3"/>
  <c r="U2121" i="3"/>
  <c r="K2121" i="3"/>
  <c r="E2121" i="3"/>
  <c r="B2121" i="3"/>
  <c r="U2120" i="3"/>
  <c r="K2120" i="3"/>
  <c r="E2120" i="3"/>
  <c r="B2120" i="3"/>
  <c r="U2119" i="3"/>
  <c r="K2119" i="3"/>
  <c r="E2119" i="3"/>
  <c r="B2119" i="3"/>
  <c r="U2118" i="3"/>
  <c r="K2118" i="3"/>
  <c r="E2118" i="3"/>
  <c r="B2118" i="3"/>
  <c r="U2117" i="3"/>
  <c r="K2117" i="3"/>
  <c r="E2117" i="3"/>
  <c r="B2117" i="3"/>
  <c r="U2116" i="3"/>
  <c r="K2116" i="3"/>
  <c r="E2116" i="3"/>
  <c r="B2116" i="3"/>
  <c r="U2115" i="3"/>
  <c r="K2115" i="3"/>
  <c r="E2115" i="3"/>
  <c r="B2115" i="3"/>
  <c r="U2114" i="3"/>
  <c r="K2114" i="3"/>
  <c r="E2114" i="3"/>
  <c r="B2114" i="3"/>
  <c r="U2113" i="3"/>
  <c r="K2113" i="3"/>
  <c r="E2113" i="3"/>
  <c r="B2113" i="3"/>
  <c r="U2112" i="3"/>
  <c r="K2112" i="3"/>
  <c r="E2112" i="3"/>
  <c r="B2112" i="3"/>
  <c r="U2111" i="3"/>
  <c r="K2111" i="3"/>
  <c r="E2111" i="3"/>
  <c r="B2111" i="3"/>
  <c r="U2110" i="3"/>
  <c r="K2110" i="3"/>
  <c r="E2110" i="3"/>
  <c r="B2110" i="3"/>
  <c r="U2109" i="3"/>
  <c r="K2109" i="3"/>
  <c r="E2109" i="3"/>
  <c r="B2109" i="3"/>
  <c r="U2108" i="3"/>
  <c r="K2108" i="3"/>
  <c r="E2108" i="3"/>
  <c r="B2108" i="3"/>
  <c r="U2107" i="3"/>
  <c r="K2107" i="3"/>
  <c r="E2107" i="3"/>
  <c r="B2107" i="3"/>
  <c r="U2106" i="3"/>
  <c r="K2106" i="3"/>
  <c r="E2106" i="3"/>
  <c r="B2106" i="3"/>
  <c r="U2105" i="3"/>
  <c r="K2105" i="3"/>
  <c r="E2105" i="3"/>
  <c r="B2105" i="3"/>
  <c r="U2104" i="3"/>
  <c r="K2104" i="3"/>
  <c r="E2104" i="3"/>
  <c r="B2104" i="3"/>
  <c r="U2103" i="3"/>
  <c r="K2103" i="3"/>
  <c r="E2103" i="3"/>
  <c r="B2103" i="3"/>
  <c r="U2102" i="3"/>
  <c r="K2102" i="3"/>
  <c r="E2102" i="3"/>
  <c r="B2102" i="3"/>
  <c r="U2101" i="3"/>
  <c r="K2101" i="3"/>
  <c r="E2101" i="3"/>
  <c r="B2101" i="3"/>
  <c r="U2100" i="3"/>
  <c r="K2100" i="3"/>
  <c r="E2100" i="3"/>
  <c r="B2100" i="3"/>
  <c r="U2099" i="3"/>
  <c r="K2099" i="3"/>
  <c r="E2099" i="3"/>
  <c r="B2099" i="3"/>
  <c r="U2098" i="3"/>
  <c r="K2098" i="3"/>
  <c r="E2098" i="3"/>
  <c r="B2098" i="3"/>
  <c r="U2097" i="3"/>
  <c r="K2097" i="3"/>
  <c r="E2097" i="3"/>
  <c r="B2097" i="3"/>
  <c r="U2096" i="3"/>
  <c r="K2096" i="3"/>
  <c r="E2096" i="3"/>
  <c r="B2096" i="3"/>
  <c r="U2095" i="3"/>
  <c r="K2095" i="3"/>
  <c r="E2095" i="3"/>
  <c r="B2095" i="3"/>
  <c r="U2094" i="3"/>
  <c r="K2094" i="3"/>
  <c r="E2094" i="3"/>
  <c r="B2094" i="3"/>
  <c r="U2093" i="3"/>
  <c r="K2093" i="3"/>
  <c r="E2093" i="3"/>
  <c r="B2093" i="3"/>
  <c r="U2092" i="3"/>
  <c r="K2092" i="3"/>
  <c r="E2092" i="3"/>
  <c r="B2092" i="3"/>
  <c r="U2091" i="3"/>
  <c r="K2091" i="3"/>
  <c r="E2091" i="3"/>
  <c r="B2091" i="3"/>
  <c r="U2090" i="3"/>
  <c r="K2090" i="3"/>
  <c r="E2090" i="3"/>
  <c r="B2090" i="3"/>
  <c r="U2089" i="3"/>
  <c r="K2089" i="3"/>
  <c r="E2089" i="3"/>
  <c r="B2089" i="3"/>
  <c r="U2088" i="3"/>
  <c r="K2088" i="3"/>
  <c r="E2088" i="3"/>
  <c r="B2088" i="3"/>
  <c r="U2087" i="3"/>
  <c r="K2087" i="3"/>
  <c r="E2087" i="3"/>
  <c r="B2087" i="3"/>
  <c r="U2086" i="3"/>
  <c r="K2086" i="3"/>
  <c r="E2086" i="3"/>
  <c r="B2086" i="3"/>
  <c r="U2085" i="3"/>
  <c r="K2085" i="3"/>
  <c r="E2085" i="3"/>
  <c r="B2085" i="3"/>
  <c r="U2084" i="3"/>
  <c r="K2084" i="3"/>
  <c r="E2084" i="3"/>
  <c r="B2084" i="3"/>
  <c r="U2083" i="3"/>
  <c r="K2083" i="3"/>
  <c r="E2083" i="3"/>
  <c r="B2083" i="3"/>
  <c r="U2082" i="3"/>
  <c r="K2082" i="3"/>
  <c r="E2082" i="3"/>
  <c r="B2082" i="3"/>
  <c r="U2081" i="3"/>
  <c r="K2081" i="3"/>
  <c r="E2081" i="3"/>
  <c r="B2081" i="3"/>
  <c r="U2080" i="3"/>
  <c r="K2080" i="3"/>
  <c r="E2080" i="3"/>
  <c r="B2080" i="3"/>
  <c r="U2079" i="3"/>
  <c r="K2079" i="3"/>
  <c r="E2079" i="3"/>
  <c r="B2079" i="3"/>
  <c r="U2078" i="3"/>
  <c r="K2078" i="3"/>
  <c r="E2078" i="3"/>
  <c r="B2078" i="3"/>
  <c r="U2077" i="3"/>
  <c r="K2077" i="3"/>
  <c r="E2077" i="3"/>
  <c r="B2077" i="3"/>
  <c r="U2076" i="3"/>
  <c r="K2076" i="3"/>
  <c r="E2076" i="3"/>
  <c r="B2076" i="3"/>
  <c r="U2075" i="3"/>
  <c r="K2075" i="3"/>
  <c r="E2075" i="3"/>
  <c r="B2075" i="3"/>
  <c r="U2074" i="3"/>
  <c r="K2074" i="3"/>
  <c r="E2074" i="3"/>
  <c r="B2074" i="3"/>
  <c r="U2073" i="3"/>
  <c r="K2073" i="3"/>
  <c r="E2073" i="3"/>
  <c r="B2073" i="3"/>
  <c r="U2072" i="3"/>
  <c r="K2072" i="3"/>
  <c r="E2072" i="3"/>
  <c r="B2072" i="3"/>
  <c r="U2071" i="3"/>
  <c r="K2071" i="3"/>
  <c r="E2071" i="3"/>
  <c r="B2071" i="3"/>
  <c r="U2070" i="3"/>
  <c r="K2070" i="3"/>
  <c r="E2070" i="3"/>
  <c r="B2070" i="3"/>
  <c r="U2069" i="3"/>
  <c r="K2069" i="3"/>
  <c r="E2069" i="3"/>
  <c r="B2069" i="3"/>
  <c r="U2068" i="3"/>
  <c r="K2068" i="3"/>
  <c r="E2068" i="3"/>
  <c r="B2068" i="3"/>
  <c r="U2067" i="3"/>
  <c r="K2067" i="3"/>
  <c r="E2067" i="3"/>
  <c r="B2067" i="3"/>
  <c r="U2066" i="3"/>
  <c r="K2066" i="3"/>
  <c r="E2066" i="3"/>
  <c r="B2066" i="3"/>
  <c r="U2065" i="3"/>
  <c r="K2065" i="3"/>
  <c r="E2065" i="3"/>
  <c r="B2065" i="3"/>
  <c r="U2064" i="3"/>
  <c r="K2064" i="3"/>
  <c r="E2064" i="3"/>
  <c r="B2064" i="3"/>
  <c r="U2063" i="3"/>
  <c r="K2063" i="3"/>
  <c r="E2063" i="3"/>
  <c r="B2063" i="3"/>
  <c r="U2062" i="3"/>
  <c r="K2062" i="3"/>
  <c r="E2062" i="3"/>
  <c r="B2062" i="3"/>
  <c r="U2061" i="3"/>
  <c r="K2061" i="3"/>
  <c r="E2061" i="3"/>
  <c r="B2061" i="3"/>
  <c r="U2060" i="3"/>
  <c r="K2060" i="3"/>
  <c r="E2060" i="3"/>
  <c r="B2060" i="3"/>
  <c r="U2059" i="3"/>
  <c r="K2059" i="3"/>
  <c r="E2059" i="3"/>
  <c r="B2059" i="3"/>
  <c r="U2058" i="3"/>
  <c r="K2058" i="3"/>
  <c r="E2058" i="3"/>
  <c r="B2058" i="3"/>
  <c r="U2057" i="3"/>
  <c r="K2057" i="3"/>
  <c r="E2057" i="3"/>
  <c r="B2057" i="3"/>
  <c r="U2056" i="3"/>
  <c r="K2056" i="3"/>
  <c r="E2056" i="3"/>
  <c r="B2056" i="3"/>
  <c r="U2055" i="3"/>
  <c r="K2055" i="3"/>
  <c r="E2055" i="3"/>
  <c r="B2055" i="3"/>
  <c r="U2054" i="3"/>
  <c r="K2054" i="3"/>
  <c r="E2054" i="3"/>
  <c r="B2054" i="3"/>
  <c r="U2053" i="3"/>
  <c r="K2053" i="3"/>
  <c r="E2053" i="3"/>
  <c r="B2053" i="3"/>
  <c r="U2052" i="3"/>
  <c r="K2052" i="3"/>
  <c r="E2052" i="3"/>
  <c r="B2052" i="3"/>
  <c r="U2051" i="3"/>
  <c r="K2051" i="3"/>
  <c r="E2051" i="3"/>
  <c r="B2051" i="3"/>
  <c r="U2050" i="3"/>
  <c r="K2050" i="3"/>
  <c r="E2050" i="3"/>
  <c r="B2050" i="3"/>
  <c r="U2049" i="3"/>
  <c r="K2049" i="3"/>
  <c r="E2049" i="3"/>
  <c r="B2049" i="3"/>
  <c r="U2048" i="3"/>
  <c r="K2048" i="3"/>
  <c r="E2048" i="3"/>
  <c r="B2048" i="3"/>
  <c r="U2047" i="3"/>
  <c r="K2047" i="3"/>
  <c r="E2047" i="3"/>
  <c r="B2047" i="3"/>
  <c r="U2046" i="3"/>
  <c r="K2046" i="3"/>
  <c r="E2046" i="3"/>
  <c r="B2046" i="3"/>
  <c r="U2045" i="3"/>
  <c r="K2045" i="3"/>
  <c r="E2045" i="3"/>
  <c r="B2045" i="3"/>
  <c r="U2044" i="3"/>
  <c r="K2044" i="3"/>
  <c r="E2044" i="3"/>
  <c r="B2044" i="3"/>
  <c r="U2043" i="3"/>
  <c r="K2043" i="3"/>
  <c r="E2043" i="3"/>
  <c r="B2043" i="3"/>
  <c r="U2042" i="3"/>
  <c r="K2042" i="3"/>
  <c r="E2042" i="3"/>
  <c r="B2042" i="3"/>
  <c r="U2041" i="3"/>
  <c r="K2041" i="3"/>
  <c r="E2041" i="3"/>
  <c r="B2041" i="3"/>
  <c r="U2040" i="3"/>
  <c r="K2040" i="3"/>
  <c r="E2040" i="3"/>
  <c r="B2040" i="3"/>
  <c r="U2039" i="3"/>
  <c r="K2039" i="3"/>
  <c r="E2039" i="3"/>
  <c r="B2039" i="3"/>
  <c r="U2038" i="3"/>
  <c r="K2038" i="3"/>
  <c r="E2038" i="3"/>
  <c r="B2038" i="3"/>
  <c r="U2037" i="3"/>
  <c r="K2037" i="3"/>
  <c r="E2037" i="3"/>
  <c r="B2037" i="3"/>
  <c r="U2036" i="3"/>
  <c r="K2036" i="3"/>
  <c r="E2036" i="3"/>
  <c r="B2036" i="3"/>
  <c r="U2035" i="3"/>
  <c r="K2035" i="3"/>
  <c r="E2035" i="3"/>
  <c r="B2035" i="3"/>
  <c r="U2034" i="3"/>
  <c r="K2034" i="3"/>
  <c r="E2034" i="3"/>
  <c r="B2034" i="3"/>
  <c r="U2033" i="3"/>
  <c r="K2033" i="3"/>
  <c r="E2033" i="3"/>
  <c r="B2033" i="3"/>
  <c r="U2032" i="3"/>
  <c r="K2032" i="3"/>
  <c r="E2032" i="3"/>
  <c r="B2032" i="3"/>
  <c r="U2031" i="3"/>
  <c r="K2031" i="3"/>
  <c r="E2031" i="3"/>
  <c r="B2031" i="3"/>
  <c r="U2030" i="3"/>
  <c r="K2030" i="3"/>
  <c r="E2030" i="3"/>
  <c r="B2030" i="3"/>
  <c r="U2029" i="3"/>
  <c r="K2029" i="3"/>
  <c r="E2029" i="3"/>
  <c r="B2029" i="3"/>
  <c r="U2028" i="3"/>
  <c r="K2028" i="3"/>
  <c r="E2028" i="3"/>
  <c r="B2028" i="3"/>
  <c r="U2027" i="3"/>
  <c r="K2027" i="3"/>
  <c r="E2027" i="3"/>
  <c r="B2027" i="3"/>
  <c r="U2026" i="3"/>
  <c r="K2026" i="3"/>
  <c r="E2026" i="3"/>
  <c r="B2026" i="3"/>
  <c r="U2025" i="3"/>
  <c r="K2025" i="3"/>
  <c r="E2025" i="3"/>
  <c r="B2025" i="3"/>
  <c r="U2024" i="3"/>
  <c r="K2024" i="3"/>
  <c r="E2024" i="3"/>
  <c r="B2024" i="3"/>
  <c r="U2023" i="3"/>
  <c r="K2023" i="3"/>
  <c r="E2023" i="3"/>
  <c r="B2023" i="3"/>
  <c r="U2022" i="3"/>
  <c r="K2022" i="3"/>
  <c r="E2022" i="3"/>
  <c r="B2022" i="3"/>
  <c r="U2021" i="3"/>
  <c r="K2021" i="3"/>
  <c r="E2021" i="3"/>
  <c r="B2021" i="3"/>
  <c r="U2020" i="3"/>
  <c r="K2020" i="3"/>
  <c r="E2020" i="3"/>
  <c r="B2020" i="3"/>
  <c r="U2019" i="3"/>
  <c r="K2019" i="3"/>
  <c r="E2019" i="3"/>
  <c r="B2019" i="3"/>
  <c r="U2018" i="3"/>
  <c r="K2018" i="3"/>
  <c r="E2018" i="3"/>
  <c r="B2018" i="3"/>
  <c r="U2017" i="3"/>
  <c r="K2017" i="3"/>
  <c r="E2017" i="3"/>
  <c r="B2017" i="3"/>
  <c r="U2016" i="3"/>
  <c r="K2016" i="3"/>
  <c r="E2016" i="3"/>
  <c r="B2016" i="3"/>
  <c r="U2015" i="3"/>
  <c r="K2015" i="3"/>
  <c r="E2015" i="3"/>
  <c r="B2015" i="3"/>
  <c r="U2014" i="3"/>
  <c r="K2014" i="3"/>
  <c r="E2014" i="3"/>
  <c r="B2014" i="3"/>
  <c r="U2013" i="3"/>
  <c r="K2013" i="3"/>
  <c r="E2013" i="3"/>
  <c r="B2013" i="3"/>
  <c r="U2012" i="3"/>
  <c r="K2012" i="3"/>
  <c r="E2012" i="3"/>
  <c r="B2012" i="3"/>
  <c r="U2011" i="3"/>
  <c r="K2011" i="3"/>
  <c r="E2011" i="3"/>
  <c r="B2011" i="3"/>
  <c r="U2010" i="3"/>
  <c r="K2010" i="3"/>
  <c r="E2010" i="3"/>
  <c r="B2010" i="3"/>
  <c r="U2009" i="3"/>
  <c r="K2009" i="3"/>
  <c r="E2009" i="3"/>
  <c r="B2009" i="3"/>
  <c r="K2008" i="3"/>
  <c r="E2008" i="3"/>
  <c r="B2008" i="3"/>
  <c r="U2007" i="3"/>
  <c r="K2007" i="3"/>
  <c r="E2007" i="3"/>
  <c r="B2007" i="3"/>
  <c r="U2006" i="3"/>
  <c r="K2006" i="3"/>
  <c r="E2006" i="3"/>
  <c r="B2006" i="3"/>
  <c r="U2005" i="3"/>
  <c r="K2005" i="3"/>
  <c r="E2005" i="3"/>
  <c r="B2005" i="3"/>
  <c r="U2004" i="3"/>
  <c r="K2004" i="3"/>
  <c r="E2004" i="3"/>
  <c r="B2004" i="3"/>
  <c r="U2003" i="3"/>
  <c r="K2003" i="3"/>
  <c r="E2003" i="3"/>
  <c r="B2003" i="3"/>
  <c r="U2002" i="3"/>
  <c r="K2002" i="3"/>
  <c r="E2002" i="3"/>
  <c r="B2002" i="3"/>
  <c r="U2001" i="3"/>
  <c r="K2001" i="3"/>
  <c r="E2001" i="3"/>
  <c r="B2001" i="3"/>
  <c r="U2000" i="3"/>
  <c r="K2000" i="3"/>
  <c r="E2000" i="3"/>
  <c r="B2000" i="3"/>
  <c r="U1999" i="3"/>
  <c r="K1999" i="3"/>
  <c r="E1999" i="3"/>
  <c r="B1999" i="3"/>
  <c r="U1998" i="3"/>
  <c r="K1998" i="3"/>
  <c r="E1998" i="3"/>
  <c r="B1998" i="3"/>
  <c r="U1997" i="3"/>
  <c r="K1997" i="3"/>
  <c r="E1997" i="3"/>
  <c r="B1997" i="3"/>
  <c r="U1996" i="3"/>
  <c r="K1996" i="3"/>
  <c r="E1996" i="3"/>
  <c r="B1996" i="3"/>
  <c r="U1995" i="3"/>
  <c r="K1995" i="3"/>
  <c r="E1995" i="3"/>
  <c r="B1995" i="3"/>
  <c r="U1994" i="3"/>
  <c r="K1994" i="3"/>
  <c r="E1994" i="3"/>
  <c r="B1994" i="3"/>
  <c r="U1993" i="3"/>
  <c r="K1993" i="3"/>
  <c r="E1993" i="3"/>
  <c r="B1993" i="3"/>
  <c r="U1992" i="3"/>
  <c r="K1992" i="3"/>
  <c r="E1992" i="3"/>
  <c r="B1992" i="3"/>
  <c r="U1991" i="3"/>
  <c r="K1991" i="3"/>
  <c r="E1991" i="3"/>
  <c r="B1991" i="3"/>
  <c r="U1990" i="3"/>
  <c r="K1990" i="3"/>
  <c r="E1990" i="3"/>
  <c r="B1990" i="3"/>
  <c r="U1989" i="3"/>
  <c r="K1989" i="3"/>
  <c r="E1989" i="3"/>
  <c r="B1989" i="3"/>
  <c r="U1988" i="3"/>
  <c r="K1988" i="3"/>
  <c r="E1988" i="3"/>
  <c r="B1988" i="3"/>
  <c r="U1987" i="3"/>
  <c r="K1987" i="3"/>
  <c r="E1987" i="3"/>
  <c r="B1987" i="3"/>
  <c r="U1986" i="3"/>
  <c r="K1986" i="3"/>
  <c r="E1986" i="3"/>
  <c r="B1986" i="3"/>
  <c r="U1985" i="3"/>
  <c r="K1985" i="3"/>
  <c r="E1985" i="3"/>
  <c r="B1985" i="3"/>
  <c r="U1984" i="3"/>
  <c r="K1984" i="3"/>
  <c r="E1984" i="3"/>
  <c r="B1984" i="3"/>
  <c r="U1983" i="3"/>
  <c r="K1983" i="3"/>
  <c r="E1983" i="3"/>
  <c r="B1983" i="3"/>
  <c r="U1982" i="3"/>
  <c r="K1982" i="3"/>
  <c r="E1982" i="3"/>
  <c r="B1982" i="3"/>
  <c r="U1981" i="3"/>
  <c r="K1981" i="3"/>
  <c r="E1981" i="3"/>
  <c r="B1981" i="3"/>
  <c r="U1980" i="3"/>
  <c r="K1980" i="3"/>
  <c r="E1980" i="3"/>
  <c r="B1980" i="3"/>
  <c r="U1979" i="3"/>
  <c r="K1979" i="3"/>
  <c r="E1979" i="3"/>
  <c r="B1979" i="3"/>
  <c r="U1978" i="3"/>
  <c r="K1978" i="3"/>
  <c r="E1978" i="3"/>
  <c r="B1978" i="3"/>
  <c r="U1977" i="3"/>
  <c r="K1977" i="3"/>
  <c r="E1977" i="3"/>
  <c r="B1977" i="3"/>
  <c r="U1976" i="3"/>
  <c r="K1976" i="3"/>
  <c r="E1976" i="3"/>
  <c r="B1976" i="3"/>
  <c r="U1975" i="3"/>
  <c r="K1975" i="3"/>
  <c r="H1975" i="3"/>
  <c r="E1975" i="3"/>
  <c r="B1975" i="3"/>
  <c r="U1974" i="3"/>
  <c r="K1974" i="3"/>
  <c r="E1974" i="3"/>
  <c r="B1974" i="3"/>
  <c r="U1973" i="3"/>
  <c r="K1973" i="3"/>
  <c r="E1973" i="3"/>
  <c r="B1973" i="3"/>
  <c r="U1972" i="3"/>
  <c r="K1972" i="3"/>
  <c r="E1972" i="3"/>
  <c r="B1972" i="3"/>
  <c r="U1971" i="3"/>
  <c r="K1971" i="3"/>
  <c r="E1971" i="3"/>
  <c r="B1971" i="3"/>
  <c r="U1970" i="3"/>
  <c r="K1970" i="3"/>
  <c r="E1970" i="3"/>
  <c r="B1970" i="3"/>
  <c r="U1969" i="3"/>
  <c r="K1969" i="3"/>
  <c r="E1969" i="3"/>
  <c r="B1969" i="3"/>
  <c r="U1968" i="3"/>
  <c r="K1968" i="3"/>
  <c r="E1968" i="3"/>
  <c r="B1968" i="3"/>
  <c r="U1967" i="3"/>
  <c r="K1967" i="3"/>
  <c r="E1967" i="3"/>
  <c r="B1967" i="3"/>
  <c r="U1966" i="3"/>
  <c r="K1966" i="3"/>
  <c r="E1966" i="3"/>
  <c r="B1966" i="3"/>
  <c r="U1965" i="3"/>
  <c r="K1965" i="3"/>
  <c r="E1965" i="3"/>
  <c r="B1965" i="3"/>
  <c r="U1964" i="3"/>
  <c r="K1964" i="3"/>
  <c r="E1964" i="3"/>
  <c r="B1964" i="3"/>
  <c r="U1963" i="3"/>
  <c r="K1963" i="3"/>
  <c r="E1963" i="3"/>
  <c r="B1963" i="3"/>
  <c r="U1962" i="3"/>
  <c r="K1962" i="3"/>
  <c r="E1962" i="3"/>
  <c r="B1962" i="3"/>
  <c r="U1961" i="3"/>
  <c r="K1961" i="3"/>
  <c r="E1961" i="3"/>
  <c r="B1961" i="3"/>
  <c r="U1960" i="3"/>
  <c r="K1960" i="3"/>
  <c r="E1960" i="3"/>
  <c r="B1960" i="3"/>
  <c r="U1959" i="3"/>
  <c r="K1959" i="3"/>
  <c r="E1959" i="3"/>
  <c r="B1959" i="3"/>
  <c r="U1958" i="3"/>
  <c r="K1958" i="3"/>
  <c r="E1958" i="3"/>
  <c r="B1958" i="3"/>
  <c r="U1957" i="3"/>
  <c r="K1957" i="3"/>
  <c r="E1957" i="3"/>
  <c r="B1957" i="3"/>
  <c r="U1956" i="3"/>
  <c r="K1956" i="3"/>
  <c r="E1956" i="3"/>
  <c r="B1956" i="3"/>
  <c r="U1955" i="3"/>
  <c r="K1955" i="3"/>
  <c r="E1955" i="3"/>
  <c r="B1955" i="3"/>
  <c r="U1954" i="3"/>
  <c r="K1954" i="3"/>
  <c r="E1954" i="3"/>
  <c r="B1954" i="3"/>
  <c r="U1953" i="3"/>
  <c r="K1953" i="3"/>
  <c r="E1953" i="3"/>
  <c r="B1953" i="3"/>
  <c r="U1952" i="3"/>
  <c r="K1952" i="3"/>
  <c r="E1952" i="3"/>
  <c r="B1952" i="3"/>
  <c r="U1951" i="3"/>
  <c r="K1951" i="3"/>
  <c r="E1951" i="3"/>
  <c r="B1951" i="3"/>
  <c r="U1950" i="3"/>
  <c r="K1950" i="3"/>
  <c r="E1950" i="3"/>
  <c r="B1950" i="3"/>
  <c r="U1949" i="3"/>
  <c r="K1949" i="3"/>
  <c r="E1949" i="3"/>
  <c r="B1949" i="3"/>
  <c r="U1948" i="3"/>
  <c r="K1948" i="3"/>
  <c r="E1948" i="3"/>
  <c r="B1948" i="3"/>
  <c r="U1947" i="3"/>
  <c r="K1947" i="3"/>
  <c r="E1947" i="3"/>
  <c r="B1947" i="3"/>
  <c r="U1946" i="3"/>
  <c r="K1946" i="3"/>
  <c r="E1946" i="3"/>
  <c r="B1946" i="3"/>
  <c r="U1945" i="3"/>
  <c r="K1945" i="3"/>
  <c r="E1945" i="3"/>
  <c r="B1945" i="3"/>
  <c r="U1944" i="3"/>
  <c r="K1944" i="3"/>
  <c r="E1944" i="3"/>
  <c r="B1944" i="3"/>
  <c r="U1943" i="3"/>
  <c r="K1943" i="3"/>
  <c r="E1943" i="3"/>
  <c r="B1943" i="3"/>
  <c r="U1942" i="3"/>
  <c r="K1942" i="3"/>
  <c r="E1942" i="3"/>
  <c r="B1942" i="3"/>
  <c r="U1941" i="3"/>
  <c r="K1941" i="3"/>
  <c r="E1941" i="3"/>
  <c r="B1941" i="3"/>
  <c r="U1940" i="3"/>
  <c r="K1940" i="3"/>
  <c r="E1940" i="3"/>
  <c r="B1940" i="3"/>
  <c r="U1939" i="3"/>
  <c r="K1939" i="3"/>
  <c r="E1939" i="3"/>
  <c r="B1939" i="3"/>
  <c r="U1938" i="3"/>
  <c r="K1938" i="3"/>
  <c r="E1938" i="3"/>
  <c r="B1938" i="3"/>
  <c r="U1937" i="3"/>
  <c r="K1937" i="3"/>
  <c r="E1937" i="3"/>
  <c r="B1937" i="3"/>
  <c r="U1936" i="3"/>
  <c r="K1936" i="3"/>
  <c r="E1936" i="3"/>
  <c r="B1936" i="3"/>
  <c r="U1935" i="3"/>
  <c r="K1935" i="3"/>
  <c r="E1935" i="3"/>
  <c r="B1935" i="3"/>
  <c r="U1934" i="3"/>
  <c r="K1934" i="3"/>
  <c r="E1934" i="3"/>
  <c r="B1934" i="3"/>
  <c r="U1933" i="3"/>
  <c r="K1933" i="3"/>
  <c r="E1933" i="3"/>
  <c r="B1933" i="3"/>
  <c r="U1932" i="3"/>
  <c r="K1932" i="3"/>
  <c r="E1932" i="3"/>
  <c r="B1932" i="3"/>
  <c r="U1931" i="3"/>
  <c r="K1931" i="3"/>
  <c r="E1931" i="3"/>
  <c r="B1931" i="3"/>
  <c r="U1930" i="3"/>
  <c r="K1930" i="3"/>
  <c r="E1930" i="3"/>
  <c r="B1930" i="3"/>
  <c r="U1929" i="3"/>
  <c r="K1929" i="3"/>
  <c r="E1929" i="3"/>
  <c r="B1929" i="3"/>
  <c r="U1928" i="3"/>
  <c r="K1928" i="3"/>
  <c r="E1928" i="3"/>
  <c r="B1928" i="3"/>
  <c r="U1927" i="3"/>
  <c r="K1927" i="3"/>
  <c r="E1927" i="3"/>
  <c r="B1927" i="3"/>
  <c r="U1926" i="3"/>
  <c r="K1926" i="3"/>
  <c r="E1926" i="3"/>
  <c r="B1926" i="3"/>
  <c r="U1925" i="3"/>
  <c r="K1925" i="3"/>
  <c r="E1925" i="3"/>
  <c r="B1925" i="3"/>
  <c r="U1924" i="3"/>
  <c r="K1924" i="3"/>
  <c r="E1924" i="3"/>
  <c r="B1924" i="3"/>
  <c r="U1923" i="3"/>
  <c r="K1923" i="3"/>
  <c r="E1923" i="3"/>
  <c r="B1923" i="3"/>
  <c r="U1922" i="3"/>
  <c r="K1922" i="3"/>
  <c r="E1922" i="3"/>
  <c r="B1922" i="3"/>
  <c r="U1921" i="3"/>
  <c r="K1921" i="3"/>
  <c r="E1921" i="3"/>
  <c r="B1921" i="3"/>
  <c r="U1920" i="3"/>
  <c r="K1920" i="3"/>
  <c r="E1920" i="3"/>
  <c r="B1920" i="3"/>
  <c r="U1919" i="3"/>
  <c r="K1919" i="3"/>
  <c r="E1919" i="3"/>
  <c r="B1919" i="3"/>
  <c r="U1918" i="3"/>
  <c r="K1918" i="3"/>
  <c r="E1918" i="3"/>
  <c r="B1918" i="3"/>
  <c r="U1917" i="3"/>
  <c r="K1917" i="3"/>
  <c r="E1917" i="3"/>
  <c r="B1917" i="3"/>
  <c r="U1916" i="3"/>
  <c r="K1916" i="3"/>
  <c r="E1916" i="3"/>
  <c r="B1916" i="3"/>
  <c r="U1915" i="3"/>
  <c r="K1915" i="3"/>
  <c r="E1915" i="3"/>
  <c r="B1915" i="3"/>
  <c r="U1914" i="3"/>
  <c r="K1914" i="3"/>
  <c r="E1914" i="3"/>
  <c r="B1914" i="3"/>
  <c r="U1913" i="3"/>
  <c r="K1913" i="3"/>
  <c r="E1913" i="3"/>
  <c r="B1913" i="3"/>
  <c r="U1912" i="3"/>
  <c r="K1912" i="3"/>
  <c r="E1912" i="3"/>
  <c r="B1912" i="3"/>
  <c r="U1911" i="3"/>
  <c r="K1911" i="3"/>
  <c r="E1911" i="3"/>
  <c r="B1911" i="3"/>
  <c r="U1910" i="3"/>
  <c r="K1910" i="3"/>
  <c r="E1910" i="3"/>
  <c r="B1910" i="3"/>
  <c r="U1909" i="3"/>
  <c r="K1909" i="3"/>
  <c r="E1909" i="3"/>
  <c r="B1909" i="3"/>
  <c r="U1908" i="3"/>
  <c r="K1908" i="3"/>
  <c r="E1908" i="3"/>
  <c r="B1908" i="3"/>
  <c r="U1907" i="3"/>
  <c r="K1907" i="3"/>
  <c r="E1907" i="3"/>
  <c r="B1907" i="3"/>
  <c r="U1906" i="3"/>
  <c r="K1906" i="3"/>
  <c r="E1906" i="3"/>
  <c r="B1906" i="3"/>
  <c r="U1905" i="3"/>
  <c r="K1905" i="3"/>
  <c r="E1905" i="3"/>
  <c r="B1905" i="3"/>
  <c r="U1904" i="3"/>
  <c r="K1904" i="3"/>
  <c r="E1904" i="3"/>
  <c r="B1904" i="3"/>
  <c r="U1903" i="3"/>
  <c r="K1903" i="3"/>
  <c r="E1903" i="3"/>
  <c r="B1903" i="3"/>
  <c r="U1902" i="3"/>
  <c r="K1902" i="3"/>
  <c r="E1902" i="3"/>
  <c r="B1902" i="3"/>
  <c r="U1901" i="3"/>
  <c r="K1901" i="3"/>
  <c r="E1901" i="3"/>
  <c r="B1901" i="3"/>
  <c r="U1900" i="3"/>
  <c r="K1900" i="3"/>
  <c r="E1900" i="3"/>
  <c r="B1900" i="3"/>
  <c r="U1899" i="3"/>
  <c r="K1899" i="3"/>
  <c r="E1899" i="3"/>
  <c r="B1899" i="3"/>
  <c r="U1898" i="3"/>
  <c r="K1898" i="3"/>
  <c r="E1898" i="3"/>
  <c r="B1898" i="3"/>
  <c r="U1897" i="3"/>
  <c r="K1897" i="3"/>
  <c r="E1897" i="3"/>
  <c r="B1897" i="3"/>
  <c r="U1896" i="3"/>
  <c r="K1896" i="3"/>
  <c r="E1896" i="3"/>
  <c r="B1896" i="3"/>
  <c r="U1895" i="3"/>
  <c r="K1895" i="3"/>
  <c r="E1895" i="3"/>
  <c r="B1895" i="3"/>
  <c r="U1894" i="3"/>
  <c r="K1894" i="3"/>
  <c r="E1894" i="3"/>
  <c r="B1894" i="3"/>
  <c r="U1893" i="3"/>
  <c r="K1893" i="3"/>
  <c r="E1893" i="3"/>
  <c r="B1893" i="3"/>
  <c r="U1892" i="3"/>
  <c r="K1892" i="3"/>
  <c r="E1892" i="3"/>
  <c r="B1892" i="3"/>
  <c r="U1891" i="3"/>
  <c r="K1891" i="3"/>
  <c r="E1891" i="3"/>
  <c r="B1891" i="3"/>
  <c r="U1890" i="3"/>
  <c r="K1890" i="3"/>
  <c r="E1890" i="3"/>
  <c r="B1890" i="3"/>
  <c r="U1889" i="3"/>
  <c r="K1889" i="3"/>
  <c r="E1889" i="3"/>
  <c r="B1889" i="3"/>
  <c r="U1888" i="3"/>
  <c r="K1888" i="3"/>
  <c r="E1888" i="3"/>
  <c r="B1888" i="3"/>
  <c r="U1887" i="3"/>
  <c r="K1887" i="3"/>
  <c r="E1887" i="3"/>
  <c r="B1887" i="3"/>
  <c r="U1886" i="3"/>
  <c r="K1886" i="3"/>
  <c r="E1886" i="3"/>
  <c r="B1886" i="3"/>
  <c r="U1885" i="3"/>
  <c r="K1885" i="3"/>
  <c r="E1885" i="3"/>
  <c r="B1885" i="3"/>
  <c r="U1884" i="3"/>
  <c r="K1884" i="3"/>
  <c r="E1884" i="3"/>
  <c r="B1884" i="3"/>
  <c r="U1883" i="3"/>
  <c r="K1883" i="3"/>
  <c r="E1883" i="3"/>
  <c r="B1883" i="3"/>
  <c r="U1882" i="3"/>
  <c r="K1882" i="3"/>
  <c r="E1882" i="3"/>
  <c r="B1882" i="3"/>
  <c r="U1881" i="3"/>
  <c r="K1881" i="3"/>
  <c r="E1881" i="3"/>
  <c r="B1881" i="3"/>
  <c r="U1880" i="3"/>
  <c r="K1880" i="3"/>
  <c r="E1880" i="3"/>
  <c r="B1880" i="3"/>
  <c r="U1879" i="3"/>
  <c r="K1879" i="3"/>
  <c r="E1879" i="3"/>
  <c r="B1879" i="3"/>
  <c r="U1878" i="3"/>
  <c r="K1878" i="3"/>
  <c r="E1878" i="3"/>
  <c r="B1878" i="3"/>
  <c r="U1877" i="3"/>
  <c r="K1877" i="3"/>
  <c r="E1877" i="3"/>
  <c r="B1877" i="3"/>
  <c r="U1876" i="3"/>
  <c r="K1876" i="3"/>
  <c r="E1876" i="3"/>
  <c r="B1876" i="3"/>
  <c r="U1875" i="3"/>
  <c r="K1875" i="3"/>
  <c r="E1875" i="3"/>
  <c r="B1875" i="3"/>
  <c r="U1874" i="3"/>
  <c r="K1874" i="3"/>
  <c r="E1874" i="3"/>
  <c r="B1874" i="3"/>
  <c r="U1873" i="3"/>
  <c r="K1873" i="3"/>
  <c r="E1873" i="3"/>
  <c r="B1873" i="3"/>
  <c r="U1872" i="3"/>
  <c r="K1872" i="3"/>
  <c r="E1872" i="3"/>
  <c r="B1872" i="3"/>
  <c r="U1871" i="3"/>
  <c r="K1871" i="3"/>
  <c r="E1871" i="3"/>
  <c r="B1871" i="3"/>
  <c r="U1870" i="3"/>
  <c r="K1870" i="3"/>
  <c r="E1870" i="3"/>
  <c r="B1870" i="3"/>
  <c r="U1869" i="3"/>
  <c r="K1869" i="3"/>
  <c r="E1869" i="3"/>
  <c r="B1869" i="3"/>
  <c r="U1868" i="3"/>
  <c r="K1868" i="3"/>
  <c r="E1868" i="3"/>
  <c r="B1868" i="3"/>
  <c r="U1867" i="3"/>
  <c r="K1867" i="3"/>
  <c r="E1867" i="3"/>
  <c r="B1867" i="3"/>
  <c r="U1866" i="3"/>
  <c r="K1866" i="3"/>
  <c r="E1866" i="3"/>
  <c r="B1866" i="3"/>
  <c r="U1865" i="3"/>
  <c r="K1865" i="3"/>
  <c r="E1865" i="3"/>
  <c r="B1865" i="3"/>
  <c r="U1864" i="3"/>
  <c r="K1864" i="3"/>
  <c r="E1864" i="3"/>
  <c r="B1864" i="3"/>
  <c r="U1863" i="3"/>
  <c r="K1863" i="3"/>
  <c r="E1863" i="3"/>
  <c r="B1863" i="3"/>
  <c r="U1862" i="3"/>
  <c r="K1862" i="3"/>
  <c r="E1862" i="3"/>
  <c r="B1862" i="3"/>
  <c r="U1861" i="3"/>
  <c r="K1861" i="3"/>
  <c r="E1861" i="3"/>
  <c r="B1861" i="3"/>
  <c r="U1860" i="3"/>
  <c r="K1860" i="3"/>
  <c r="E1860" i="3"/>
  <c r="B1860" i="3"/>
  <c r="U1859" i="3"/>
  <c r="K1859" i="3"/>
  <c r="E1859" i="3"/>
  <c r="B1859" i="3"/>
  <c r="U1858" i="3"/>
  <c r="K1858" i="3"/>
  <c r="E1858" i="3"/>
  <c r="B1858" i="3"/>
  <c r="U1857" i="3"/>
  <c r="K1857" i="3"/>
  <c r="E1857" i="3"/>
  <c r="B1857" i="3"/>
  <c r="U1856" i="3"/>
  <c r="K1856" i="3"/>
  <c r="E1856" i="3"/>
  <c r="B1856" i="3"/>
  <c r="U1855" i="3"/>
  <c r="K1855" i="3"/>
  <c r="E1855" i="3"/>
  <c r="B1855" i="3"/>
  <c r="U1854" i="3"/>
  <c r="K1854" i="3"/>
  <c r="E1854" i="3"/>
  <c r="B1854" i="3"/>
  <c r="U1853" i="3"/>
  <c r="K1853" i="3"/>
  <c r="E1853" i="3"/>
  <c r="B1853" i="3"/>
  <c r="U1852" i="3"/>
  <c r="K1852" i="3"/>
  <c r="E1852" i="3"/>
  <c r="B1852" i="3"/>
  <c r="U1851" i="3"/>
  <c r="K1851" i="3"/>
  <c r="E1851" i="3"/>
  <c r="B1851" i="3"/>
  <c r="U1850" i="3"/>
  <c r="K1850" i="3"/>
  <c r="E1850" i="3"/>
  <c r="B1850" i="3"/>
  <c r="U1849" i="3"/>
  <c r="K1849" i="3"/>
  <c r="E1849" i="3"/>
  <c r="B1849" i="3"/>
  <c r="U1848" i="3"/>
  <c r="K1848" i="3"/>
  <c r="E1848" i="3"/>
  <c r="B1848" i="3"/>
  <c r="U1847" i="3"/>
  <c r="K1847" i="3"/>
  <c r="E1847" i="3"/>
  <c r="B1847" i="3"/>
  <c r="U1846" i="3"/>
  <c r="K1846" i="3"/>
  <c r="E1846" i="3"/>
  <c r="B1846" i="3"/>
  <c r="U1845" i="3"/>
  <c r="K1845" i="3"/>
  <c r="E1845" i="3"/>
  <c r="B1845" i="3"/>
  <c r="U1844" i="3"/>
  <c r="K1844" i="3"/>
  <c r="E1844" i="3"/>
  <c r="B1844" i="3"/>
  <c r="U1843" i="3"/>
  <c r="K1843" i="3"/>
  <c r="E1843" i="3"/>
  <c r="B1843" i="3"/>
  <c r="U1842" i="3"/>
  <c r="K1842" i="3"/>
  <c r="E1842" i="3"/>
  <c r="B1842" i="3"/>
  <c r="U1841" i="3"/>
  <c r="K1841" i="3"/>
  <c r="E1841" i="3"/>
  <c r="B1841" i="3"/>
  <c r="U1840" i="3"/>
  <c r="K1840" i="3"/>
  <c r="E1840" i="3"/>
  <c r="B1840" i="3"/>
  <c r="U1839" i="3"/>
  <c r="K1839" i="3"/>
  <c r="E1839" i="3"/>
  <c r="B1839" i="3"/>
  <c r="U1838" i="3"/>
  <c r="K1838" i="3"/>
  <c r="E1838" i="3"/>
  <c r="B1838" i="3"/>
  <c r="U1837" i="3"/>
  <c r="K1837" i="3"/>
  <c r="E1837" i="3"/>
  <c r="B1837" i="3"/>
  <c r="U1836" i="3"/>
  <c r="K1836" i="3"/>
  <c r="E1836" i="3"/>
  <c r="B1836" i="3"/>
  <c r="U1835" i="3"/>
  <c r="K1835" i="3"/>
  <c r="E1835" i="3"/>
  <c r="B1835" i="3"/>
  <c r="U1834" i="3"/>
  <c r="K1834" i="3"/>
  <c r="E1834" i="3"/>
  <c r="B1834" i="3"/>
  <c r="U1833" i="3"/>
  <c r="K1833" i="3"/>
  <c r="E1833" i="3"/>
  <c r="B1833" i="3"/>
  <c r="U1832" i="3"/>
  <c r="K1832" i="3"/>
  <c r="E1832" i="3"/>
  <c r="B1832" i="3"/>
  <c r="U1831" i="3"/>
  <c r="K1831" i="3"/>
  <c r="E1831" i="3"/>
  <c r="B1831" i="3"/>
  <c r="U1830" i="3"/>
  <c r="K1830" i="3"/>
  <c r="E1830" i="3"/>
  <c r="B1830" i="3"/>
  <c r="U1829" i="3"/>
  <c r="K1829" i="3"/>
  <c r="E1829" i="3"/>
  <c r="B1829" i="3"/>
  <c r="U1828" i="3"/>
  <c r="K1828" i="3"/>
  <c r="E1828" i="3"/>
  <c r="B1828" i="3"/>
  <c r="U1827" i="3"/>
  <c r="K1827" i="3"/>
  <c r="E1827" i="3"/>
  <c r="B1827" i="3"/>
  <c r="U1826" i="3"/>
  <c r="K1826" i="3"/>
  <c r="E1826" i="3"/>
  <c r="B1826" i="3"/>
  <c r="U1825" i="3"/>
  <c r="K1825" i="3"/>
  <c r="E1825" i="3"/>
  <c r="B1825" i="3"/>
  <c r="U1824" i="3"/>
  <c r="K1824" i="3"/>
  <c r="E1824" i="3"/>
  <c r="B1824" i="3"/>
  <c r="U1823" i="3"/>
  <c r="K1823" i="3"/>
  <c r="E1823" i="3"/>
  <c r="B1823" i="3"/>
  <c r="U1822" i="3"/>
  <c r="K1822" i="3"/>
  <c r="E1822" i="3"/>
  <c r="B1822" i="3"/>
  <c r="U1821" i="3"/>
  <c r="K1821" i="3"/>
  <c r="E1821" i="3"/>
  <c r="B1821" i="3"/>
  <c r="U1820" i="3"/>
  <c r="K1820" i="3"/>
  <c r="E1820" i="3"/>
  <c r="B1820" i="3"/>
  <c r="U1819" i="3"/>
  <c r="K1819" i="3"/>
  <c r="E1819" i="3"/>
  <c r="B1819" i="3"/>
  <c r="U1818" i="3"/>
  <c r="K1818" i="3"/>
  <c r="E1818" i="3"/>
  <c r="B1818" i="3"/>
  <c r="U1817" i="3"/>
  <c r="K1817" i="3"/>
  <c r="E1817" i="3"/>
  <c r="B1817" i="3"/>
  <c r="U1816" i="3"/>
  <c r="K1816" i="3"/>
  <c r="E1816" i="3"/>
  <c r="B1816" i="3"/>
  <c r="U1815" i="3"/>
  <c r="K1815" i="3"/>
  <c r="E1815" i="3"/>
  <c r="B1815" i="3"/>
  <c r="U1814" i="3"/>
  <c r="K1814" i="3"/>
  <c r="E1814" i="3"/>
  <c r="B1814" i="3"/>
  <c r="U1813" i="3"/>
  <c r="K1813" i="3"/>
  <c r="E1813" i="3"/>
  <c r="B1813" i="3"/>
  <c r="U1812" i="3"/>
  <c r="K1812" i="3"/>
  <c r="E1812" i="3"/>
  <c r="B1812" i="3"/>
  <c r="U1811" i="3"/>
  <c r="K1811" i="3"/>
  <c r="E1811" i="3"/>
  <c r="B1811" i="3"/>
  <c r="U1810" i="3"/>
  <c r="K1810" i="3"/>
  <c r="E1810" i="3"/>
  <c r="B1810" i="3"/>
  <c r="U1809" i="3"/>
  <c r="K1809" i="3"/>
  <c r="E1809" i="3"/>
  <c r="B1809" i="3"/>
  <c r="U1808" i="3"/>
  <c r="K1808" i="3"/>
  <c r="E1808" i="3"/>
  <c r="B1808" i="3"/>
  <c r="U1807" i="3"/>
  <c r="K1807" i="3"/>
  <c r="E1807" i="3"/>
  <c r="B1807" i="3"/>
  <c r="U1806" i="3"/>
  <c r="K1806" i="3"/>
  <c r="E1806" i="3"/>
  <c r="B1806" i="3"/>
  <c r="U1805" i="3"/>
  <c r="K1805" i="3"/>
  <c r="E1805" i="3"/>
  <c r="B1805" i="3"/>
  <c r="U1804" i="3"/>
  <c r="K1804" i="3"/>
  <c r="E1804" i="3"/>
  <c r="B1804" i="3"/>
  <c r="U1803" i="3"/>
  <c r="K1803" i="3"/>
  <c r="E1803" i="3"/>
  <c r="B1803" i="3"/>
  <c r="U1802" i="3"/>
  <c r="K1802" i="3"/>
  <c r="E1802" i="3"/>
  <c r="B1802" i="3"/>
  <c r="U1801" i="3"/>
  <c r="K1801" i="3"/>
  <c r="E1801" i="3"/>
  <c r="B1801" i="3"/>
  <c r="U1800" i="3"/>
  <c r="K1800" i="3"/>
  <c r="E1800" i="3"/>
  <c r="B1800" i="3"/>
  <c r="U1799" i="3"/>
  <c r="K1799" i="3"/>
  <c r="E1799" i="3"/>
  <c r="B1799" i="3"/>
  <c r="U1798" i="3"/>
  <c r="K1798" i="3"/>
  <c r="E1798" i="3"/>
  <c r="B1798" i="3"/>
  <c r="U1797" i="3"/>
  <c r="K1797" i="3"/>
  <c r="E1797" i="3"/>
  <c r="B1797" i="3"/>
  <c r="U1796" i="3"/>
  <c r="K1796" i="3"/>
  <c r="E1796" i="3"/>
  <c r="B1796" i="3"/>
  <c r="U1795" i="3"/>
  <c r="K1795" i="3"/>
  <c r="E1795" i="3"/>
  <c r="B1795" i="3"/>
  <c r="U1794" i="3"/>
  <c r="K1794" i="3"/>
  <c r="E1794" i="3"/>
  <c r="B1794" i="3"/>
  <c r="U1793" i="3"/>
  <c r="K1793" i="3"/>
  <c r="E1793" i="3"/>
  <c r="B1793" i="3"/>
  <c r="U1792" i="3"/>
  <c r="K1792" i="3"/>
  <c r="E1792" i="3"/>
  <c r="B1792" i="3"/>
  <c r="U1791" i="3"/>
  <c r="K1791" i="3"/>
  <c r="E1791" i="3"/>
  <c r="B1791" i="3"/>
  <c r="U1790" i="3"/>
  <c r="K1790" i="3"/>
  <c r="E1790" i="3"/>
  <c r="B1790" i="3"/>
  <c r="U1789" i="3"/>
  <c r="K1789" i="3"/>
  <c r="E1789" i="3"/>
  <c r="B1789" i="3"/>
  <c r="U1788" i="3"/>
  <c r="K1788" i="3"/>
  <c r="E1788" i="3"/>
  <c r="B1788" i="3"/>
  <c r="U1787" i="3"/>
  <c r="K1787" i="3"/>
  <c r="E1787" i="3"/>
  <c r="B1787" i="3"/>
  <c r="U1786" i="3"/>
  <c r="K1786" i="3"/>
  <c r="E1786" i="3"/>
  <c r="B1786" i="3"/>
  <c r="U1785" i="3"/>
  <c r="K1785" i="3"/>
  <c r="E1785" i="3"/>
  <c r="B1785" i="3"/>
  <c r="U1784" i="3"/>
  <c r="K1784" i="3"/>
  <c r="E1784" i="3"/>
  <c r="B1784" i="3"/>
  <c r="U1783" i="3"/>
  <c r="K1783" i="3"/>
  <c r="E1783" i="3"/>
  <c r="B1783" i="3"/>
  <c r="U1782" i="3"/>
  <c r="K1782" i="3"/>
  <c r="E1782" i="3"/>
  <c r="B1782" i="3"/>
  <c r="U1781" i="3"/>
  <c r="K1781" i="3"/>
  <c r="E1781" i="3"/>
  <c r="B1781" i="3"/>
  <c r="U1780" i="3"/>
  <c r="K1780" i="3"/>
  <c r="E1780" i="3"/>
  <c r="B1780" i="3"/>
  <c r="U1779" i="3"/>
  <c r="K1779" i="3"/>
  <c r="E1779" i="3"/>
  <c r="B1779" i="3"/>
  <c r="U1778" i="3"/>
  <c r="K1778" i="3"/>
  <c r="E1778" i="3"/>
  <c r="B1778" i="3"/>
  <c r="U1777" i="3"/>
  <c r="K1777" i="3"/>
  <c r="E1777" i="3"/>
  <c r="B1777" i="3"/>
  <c r="U1776" i="3"/>
  <c r="K1776" i="3"/>
  <c r="E1776" i="3"/>
  <c r="B1776" i="3"/>
  <c r="U1775" i="3"/>
  <c r="K1775" i="3"/>
  <c r="E1775" i="3"/>
  <c r="B1775" i="3"/>
  <c r="U1774" i="3"/>
  <c r="K1774" i="3"/>
  <c r="E1774" i="3"/>
  <c r="B1774" i="3"/>
  <c r="U1773" i="3"/>
  <c r="K1773" i="3"/>
  <c r="E1773" i="3"/>
  <c r="B1773" i="3"/>
  <c r="U1772" i="3"/>
  <c r="K1772" i="3"/>
  <c r="E1772" i="3"/>
  <c r="B1772" i="3"/>
  <c r="U1771" i="3"/>
  <c r="K1771" i="3"/>
  <c r="E1771" i="3"/>
  <c r="B1771" i="3"/>
  <c r="U1770" i="3"/>
  <c r="K1770" i="3"/>
  <c r="E1770" i="3"/>
  <c r="B1770" i="3"/>
  <c r="U1769" i="3"/>
  <c r="K1769" i="3"/>
  <c r="E1769" i="3"/>
  <c r="B1769" i="3"/>
  <c r="U1768" i="3"/>
  <c r="K1768" i="3"/>
  <c r="E1768" i="3"/>
  <c r="B1768" i="3"/>
  <c r="U1767" i="3"/>
  <c r="K1767" i="3"/>
  <c r="E1767" i="3"/>
  <c r="B1767" i="3"/>
  <c r="U1766" i="3"/>
  <c r="K1766" i="3"/>
  <c r="E1766" i="3"/>
  <c r="B1766" i="3"/>
  <c r="U1765" i="3"/>
  <c r="K1765" i="3"/>
  <c r="E1765" i="3"/>
  <c r="B1765" i="3"/>
  <c r="U1764" i="3"/>
  <c r="K1764" i="3"/>
  <c r="E1764" i="3"/>
  <c r="B1764" i="3"/>
  <c r="U1763" i="3"/>
  <c r="K1763" i="3"/>
  <c r="E1763" i="3"/>
  <c r="B1763" i="3"/>
  <c r="U1762" i="3"/>
  <c r="K1762" i="3"/>
  <c r="E1762" i="3"/>
  <c r="B1762" i="3"/>
  <c r="U1761" i="3"/>
  <c r="K1761" i="3"/>
  <c r="E1761" i="3"/>
  <c r="B1761" i="3"/>
  <c r="U1760" i="3"/>
  <c r="K1760" i="3"/>
  <c r="E1760" i="3"/>
  <c r="B1760" i="3"/>
  <c r="U1759" i="3"/>
  <c r="K1759" i="3"/>
  <c r="E1759" i="3"/>
  <c r="B1759" i="3"/>
  <c r="U1758" i="3"/>
  <c r="K1758" i="3"/>
  <c r="E1758" i="3"/>
  <c r="B1758" i="3"/>
  <c r="U1757" i="3"/>
  <c r="K1757" i="3"/>
  <c r="E1757" i="3"/>
  <c r="B1757" i="3"/>
  <c r="U1756" i="3"/>
  <c r="K1756" i="3"/>
  <c r="E1756" i="3"/>
  <c r="B1756" i="3"/>
  <c r="U1755" i="3"/>
  <c r="K1755" i="3"/>
  <c r="E1755" i="3"/>
  <c r="B1755" i="3"/>
  <c r="U1754" i="3"/>
  <c r="K1754" i="3"/>
  <c r="E1754" i="3"/>
  <c r="B1754" i="3"/>
  <c r="U1753" i="3"/>
  <c r="K1753" i="3"/>
  <c r="E1753" i="3"/>
  <c r="B1753" i="3"/>
  <c r="U1752" i="3"/>
  <c r="K1752" i="3"/>
  <c r="E1752" i="3"/>
  <c r="B1752" i="3"/>
  <c r="U1751" i="3"/>
  <c r="K1751" i="3"/>
  <c r="E1751" i="3"/>
  <c r="B1751" i="3"/>
  <c r="U1750" i="3"/>
  <c r="K1750" i="3"/>
  <c r="E1750" i="3"/>
  <c r="B1750" i="3"/>
  <c r="U1749" i="3"/>
  <c r="K1749" i="3"/>
  <c r="E1749" i="3"/>
  <c r="B1749" i="3"/>
  <c r="U1748" i="3"/>
  <c r="K1748" i="3"/>
  <c r="E1748" i="3"/>
  <c r="B1748" i="3"/>
  <c r="U1747" i="3"/>
  <c r="K1747" i="3"/>
  <c r="E1747" i="3"/>
  <c r="B1747" i="3"/>
  <c r="U1746" i="3"/>
  <c r="K1746" i="3"/>
  <c r="E1746" i="3"/>
  <c r="B1746" i="3"/>
  <c r="U1745" i="3"/>
  <c r="K1745" i="3"/>
  <c r="E1745" i="3"/>
  <c r="B1745" i="3"/>
  <c r="U1744" i="3"/>
  <c r="K1744" i="3"/>
  <c r="E1744" i="3"/>
  <c r="B1744" i="3"/>
  <c r="U1743" i="3"/>
  <c r="K1743" i="3"/>
  <c r="E1743" i="3"/>
  <c r="B1743" i="3"/>
  <c r="U1742" i="3"/>
  <c r="K1742" i="3"/>
  <c r="E1742" i="3"/>
  <c r="B1742" i="3"/>
  <c r="U1741" i="3"/>
  <c r="K1741" i="3"/>
  <c r="E1741" i="3"/>
  <c r="B1741" i="3"/>
  <c r="U1740" i="3"/>
  <c r="K1740" i="3"/>
  <c r="E1740" i="3"/>
  <c r="B1740" i="3"/>
  <c r="U1739" i="3"/>
  <c r="K1739" i="3"/>
  <c r="E1739" i="3"/>
  <c r="B1739" i="3"/>
  <c r="U1738" i="3"/>
  <c r="K1738" i="3"/>
  <c r="E1738" i="3"/>
  <c r="B1738" i="3"/>
  <c r="U1737" i="3"/>
  <c r="K1737" i="3"/>
  <c r="E1737" i="3"/>
  <c r="B1737" i="3"/>
  <c r="U1736" i="3"/>
  <c r="K1736" i="3"/>
  <c r="E1736" i="3"/>
  <c r="B1736" i="3"/>
  <c r="K1735" i="3"/>
  <c r="E1735" i="3"/>
  <c r="B1735" i="3"/>
  <c r="U1734" i="3"/>
  <c r="K1734" i="3"/>
  <c r="E1734" i="3"/>
  <c r="B1734" i="3"/>
  <c r="U1733" i="3"/>
  <c r="K1733" i="3"/>
  <c r="E1733" i="3"/>
  <c r="B1733" i="3"/>
  <c r="U1732" i="3"/>
  <c r="K1732" i="3"/>
  <c r="E1732" i="3"/>
  <c r="B1732" i="3"/>
  <c r="U1731" i="3"/>
  <c r="K1731" i="3"/>
  <c r="E1731" i="3"/>
  <c r="B1731" i="3"/>
  <c r="U1730" i="3"/>
  <c r="K1730" i="3"/>
  <c r="E1730" i="3"/>
  <c r="B1730" i="3"/>
  <c r="U1729" i="3"/>
  <c r="K1729" i="3"/>
  <c r="E1729" i="3"/>
  <c r="B1729" i="3"/>
  <c r="U1728" i="3"/>
  <c r="K1728" i="3"/>
  <c r="E1728" i="3"/>
  <c r="B1728" i="3"/>
  <c r="U1727" i="3"/>
  <c r="K1727" i="3"/>
  <c r="E1727" i="3"/>
  <c r="B1727" i="3"/>
  <c r="U1726" i="3"/>
  <c r="K1726" i="3"/>
  <c r="E1726" i="3"/>
  <c r="B1726" i="3"/>
  <c r="U1725" i="3"/>
  <c r="K1725" i="3"/>
  <c r="E1725" i="3"/>
  <c r="B1725" i="3"/>
  <c r="U1724" i="3"/>
  <c r="K1724" i="3"/>
  <c r="E1724" i="3"/>
  <c r="B1724" i="3"/>
  <c r="U1723" i="3"/>
  <c r="K1723" i="3"/>
  <c r="E1723" i="3"/>
  <c r="B1723" i="3"/>
  <c r="U1722" i="3"/>
  <c r="K1722" i="3"/>
  <c r="E1722" i="3"/>
  <c r="B1722" i="3"/>
  <c r="U1721" i="3"/>
  <c r="K1721" i="3"/>
  <c r="E1721" i="3"/>
  <c r="B1721" i="3"/>
  <c r="U1720" i="3"/>
  <c r="K1720" i="3"/>
  <c r="E1720" i="3"/>
  <c r="B1720" i="3"/>
  <c r="U1719" i="3"/>
  <c r="K1719" i="3"/>
  <c r="E1719" i="3"/>
  <c r="B1719" i="3"/>
  <c r="U1718" i="3"/>
  <c r="K1718" i="3"/>
  <c r="E1718" i="3"/>
  <c r="B1718" i="3"/>
  <c r="U1717" i="3"/>
  <c r="K1717" i="3"/>
  <c r="E1717" i="3"/>
  <c r="B1717" i="3"/>
  <c r="U1716" i="3"/>
  <c r="K1716" i="3"/>
  <c r="E1716" i="3"/>
  <c r="B1716" i="3"/>
  <c r="U1715" i="3"/>
  <c r="K1715" i="3"/>
  <c r="E1715" i="3"/>
  <c r="B1715" i="3"/>
  <c r="U1714" i="3"/>
  <c r="K1714" i="3"/>
  <c r="E1714" i="3"/>
  <c r="B1714" i="3"/>
  <c r="U1713" i="3"/>
  <c r="K1713" i="3"/>
  <c r="E1713" i="3"/>
  <c r="B1713" i="3"/>
  <c r="U1712" i="3"/>
  <c r="K1712" i="3"/>
  <c r="E1712" i="3"/>
  <c r="B1712" i="3"/>
  <c r="U1711" i="3"/>
  <c r="K1711" i="3"/>
  <c r="E1711" i="3"/>
  <c r="B1711" i="3"/>
  <c r="U1710" i="3"/>
  <c r="K1710" i="3"/>
  <c r="E1710" i="3"/>
  <c r="B1710" i="3"/>
  <c r="U1709" i="3"/>
  <c r="K1709" i="3"/>
  <c r="E1709" i="3"/>
  <c r="B1709" i="3"/>
  <c r="U1708" i="3"/>
  <c r="K1708" i="3"/>
  <c r="E1708" i="3"/>
  <c r="B1708" i="3"/>
  <c r="U1707" i="3"/>
  <c r="K1707" i="3"/>
  <c r="E1707" i="3"/>
  <c r="B1707" i="3"/>
  <c r="U1706" i="3"/>
  <c r="K1706" i="3"/>
  <c r="E1706" i="3"/>
  <c r="B1706" i="3"/>
  <c r="U1705" i="3"/>
  <c r="K1705" i="3"/>
  <c r="E1705" i="3"/>
  <c r="B1705" i="3"/>
  <c r="U1704" i="3"/>
  <c r="K1704" i="3"/>
  <c r="E1704" i="3"/>
  <c r="B1704" i="3"/>
  <c r="U1703" i="3"/>
  <c r="K1703" i="3"/>
  <c r="E1703" i="3"/>
  <c r="B1703" i="3"/>
  <c r="U1702" i="3"/>
  <c r="K1702" i="3"/>
  <c r="E1702" i="3"/>
  <c r="B1702" i="3"/>
  <c r="U1701" i="3"/>
  <c r="K1701" i="3"/>
  <c r="E1701" i="3"/>
  <c r="B1701" i="3"/>
  <c r="U1700" i="3"/>
  <c r="K1700" i="3"/>
  <c r="E1700" i="3"/>
  <c r="B1700" i="3"/>
  <c r="U1699" i="3"/>
  <c r="K1699" i="3"/>
  <c r="E1699" i="3"/>
  <c r="B1699" i="3"/>
  <c r="U1698" i="3"/>
  <c r="K1698" i="3"/>
  <c r="E1698" i="3"/>
  <c r="B1698" i="3"/>
  <c r="U1697" i="3"/>
  <c r="K1697" i="3"/>
  <c r="E1697" i="3"/>
  <c r="B1697" i="3"/>
  <c r="U1696" i="3"/>
  <c r="K1696" i="3"/>
  <c r="E1696" i="3"/>
  <c r="B1696" i="3"/>
  <c r="U1695" i="3"/>
  <c r="K1695" i="3"/>
  <c r="E1695" i="3"/>
  <c r="B1695" i="3"/>
  <c r="U1694" i="3"/>
  <c r="K1694" i="3"/>
  <c r="E1694" i="3"/>
  <c r="B1694" i="3"/>
  <c r="U1693" i="3"/>
  <c r="K1693" i="3"/>
  <c r="E1693" i="3"/>
  <c r="B1693" i="3"/>
  <c r="U1692" i="3"/>
  <c r="K1692" i="3"/>
  <c r="E1692" i="3"/>
  <c r="B1692" i="3"/>
  <c r="U1691" i="3"/>
  <c r="K1691" i="3"/>
  <c r="E1691" i="3"/>
  <c r="B1691" i="3"/>
  <c r="U1690" i="3"/>
  <c r="K1690" i="3"/>
  <c r="E1690" i="3"/>
  <c r="B1690" i="3"/>
  <c r="U1689" i="3"/>
  <c r="K1689" i="3"/>
  <c r="E1689" i="3"/>
  <c r="B1689" i="3"/>
  <c r="U1688" i="3"/>
  <c r="K1688" i="3"/>
  <c r="E1688" i="3"/>
  <c r="B1688" i="3"/>
  <c r="U1687" i="3"/>
  <c r="K1687" i="3"/>
  <c r="E1687" i="3"/>
  <c r="B1687" i="3"/>
  <c r="U1686" i="3"/>
  <c r="K1686" i="3"/>
  <c r="E1686" i="3"/>
  <c r="B1686" i="3"/>
  <c r="U1685" i="3"/>
  <c r="K1685" i="3"/>
  <c r="E1685" i="3"/>
  <c r="B1685" i="3"/>
  <c r="U1684" i="3"/>
  <c r="K1684" i="3"/>
  <c r="E1684" i="3"/>
  <c r="B1684" i="3"/>
  <c r="U1683" i="3"/>
  <c r="K1683" i="3"/>
  <c r="E1683" i="3"/>
  <c r="B1683" i="3"/>
  <c r="U1682" i="3"/>
  <c r="K1682" i="3"/>
  <c r="E1682" i="3"/>
  <c r="B1682" i="3"/>
  <c r="U1681" i="3"/>
  <c r="K1681" i="3"/>
  <c r="E1681" i="3"/>
  <c r="B1681" i="3"/>
  <c r="U1680" i="3"/>
  <c r="K1680" i="3"/>
  <c r="E1680" i="3"/>
  <c r="B1680" i="3"/>
  <c r="U1679" i="3"/>
  <c r="K1679" i="3"/>
  <c r="E1679" i="3"/>
  <c r="B1679" i="3"/>
  <c r="U1678" i="3"/>
  <c r="K1678" i="3"/>
  <c r="E1678" i="3"/>
  <c r="B1678" i="3"/>
  <c r="U1677" i="3"/>
  <c r="K1677" i="3"/>
  <c r="E1677" i="3"/>
  <c r="B1677" i="3"/>
  <c r="U1676" i="3"/>
  <c r="K1676" i="3"/>
  <c r="E1676" i="3"/>
  <c r="B1676" i="3"/>
  <c r="U1675" i="3"/>
  <c r="K1675" i="3"/>
  <c r="E1675" i="3"/>
  <c r="B1675" i="3"/>
  <c r="U1674" i="3"/>
  <c r="K1674" i="3"/>
  <c r="E1674" i="3"/>
  <c r="B1674" i="3"/>
  <c r="U1673" i="3"/>
  <c r="K1673" i="3"/>
  <c r="E1673" i="3"/>
  <c r="B1673" i="3"/>
  <c r="U1672" i="3"/>
  <c r="K1672" i="3"/>
  <c r="E1672" i="3"/>
  <c r="B1672" i="3"/>
  <c r="U1671" i="3"/>
  <c r="K1671" i="3"/>
  <c r="E1671" i="3"/>
  <c r="B1671" i="3"/>
  <c r="U1670" i="3"/>
  <c r="K1670" i="3"/>
  <c r="E1670" i="3"/>
  <c r="B1670" i="3"/>
  <c r="U1669" i="3"/>
  <c r="K1669" i="3"/>
  <c r="E1669" i="3"/>
  <c r="B1669" i="3"/>
  <c r="U1668" i="3"/>
  <c r="K1668" i="3"/>
  <c r="E1668" i="3"/>
  <c r="B1668" i="3"/>
  <c r="U1667" i="3"/>
  <c r="K1667" i="3"/>
  <c r="E1667" i="3"/>
  <c r="B1667" i="3"/>
  <c r="U1666" i="3"/>
  <c r="K1666" i="3"/>
  <c r="E1666" i="3"/>
  <c r="B1666" i="3"/>
  <c r="U1665" i="3"/>
  <c r="K1665" i="3"/>
  <c r="E1665" i="3"/>
  <c r="B1665" i="3"/>
  <c r="U1664" i="3"/>
  <c r="K1664" i="3"/>
  <c r="E1664" i="3"/>
  <c r="B1664" i="3"/>
  <c r="U1663" i="3"/>
  <c r="K1663" i="3"/>
  <c r="E1663" i="3"/>
  <c r="B1663" i="3"/>
  <c r="U1662" i="3"/>
  <c r="K1662" i="3"/>
  <c r="E1662" i="3"/>
  <c r="B1662" i="3"/>
  <c r="U1661" i="3"/>
  <c r="K1661" i="3"/>
  <c r="E1661" i="3"/>
  <c r="B1661" i="3"/>
  <c r="U1660" i="3"/>
  <c r="K1660" i="3"/>
  <c r="E1660" i="3"/>
  <c r="B1660" i="3"/>
  <c r="U1659" i="3"/>
  <c r="K1659" i="3"/>
  <c r="E1659" i="3"/>
  <c r="B1659" i="3"/>
  <c r="U1658" i="3"/>
  <c r="K1658" i="3"/>
  <c r="E1658" i="3"/>
  <c r="B1658" i="3"/>
  <c r="U1657" i="3"/>
  <c r="K1657" i="3"/>
  <c r="E1657" i="3"/>
  <c r="B1657" i="3"/>
  <c r="U1656" i="3"/>
  <c r="K1656" i="3"/>
  <c r="E1656" i="3"/>
  <c r="B1656" i="3"/>
  <c r="U1655" i="3"/>
  <c r="K1655" i="3"/>
  <c r="E1655" i="3"/>
  <c r="B1655" i="3"/>
  <c r="U1654" i="3"/>
  <c r="K1654" i="3"/>
  <c r="E1654" i="3"/>
  <c r="B1654" i="3"/>
  <c r="U1653" i="3"/>
  <c r="K1653" i="3"/>
  <c r="E1653" i="3"/>
  <c r="B1653" i="3"/>
  <c r="U1652" i="3"/>
  <c r="K1652" i="3"/>
  <c r="E1652" i="3"/>
  <c r="B1652" i="3"/>
  <c r="U1651" i="3"/>
  <c r="K1651" i="3"/>
  <c r="E1651" i="3"/>
  <c r="B1651" i="3"/>
  <c r="U1650" i="3"/>
  <c r="K1650" i="3"/>
  <c r="E1650" i="3"/>
  <c r="B1650" i="3"/>
  <c r="U1649" i="3"/>
  <c r="K1649" i="3"/>
  <c r="E1649" i="3"/>
  <c r="B1649" i="3"/>
  <c r="U1648" i="3"/>
  <c r="K1648" i="3"/>
  <c r="E1648" i="3"/>
  <c r="B1648" i="3"/>
  <c r="U1647" i="3"/>
  <c r="K1647" i="3"/>
  <c r="E1647" i="3"/>
  <c r="B1647" i="3"/>
  <c r="U1646" i="3"/>
  <c r="K1646" i="3"/>
  <c r="E1646" i="3"/>
  <c r="B1646" i="3"/>
  <c r="U1645" i="3"/>
  <c r="K1645" i="3"/>
  <c r="E1645" i="3"/>
  <c r="B1645" i="3"/>
  <c r="U1644" i="3"/>
  <c r="K1644" i="3"/>
  <c r="E1644" i="3"/>
  <c r="B1644" i="3"/>
  <c r="U1643" i="3"/>
  <c r="K1643" i="3"/>
  <c r="E1643" i="3"/>
  <c r="B1643" i="3"/>
  <c r="U1642" i="3"/>
  <c r="K1642" i="3"/>
  <c r="E1642" i="3"/>
  <c r="B1642" i="3"/>
  <c r="K1641" i="3"/>
  <c r="E1641" i="3"/>
  <c r="B1641" i="3"/>
  <c r="U1640" i="3"/>
  <c r="K1640" i="3"/>
  <c r="E1640" i="3"/>
  <c r="B1640" i="3"/>
  <c r="U1639" i="3"/>
  <c r="K1639" i="3"/>
  <c r="E1639" i="3"/>
  <c r="B1639" i="3"/>
  <c r="U1638" i="3"/>
  <c r="K1638" i="3"/>
  <c r="E1638" i="3"/>
  <c r="B1638" i="3"/>
  <c r="U1637" i="3"/>
  <c r="K1637" i="3"/>
  <c r="E1637" i="3"/>
  <c r="B1637" i="3"/>
  <c r="U1636" i="3"/>
  <c r="K1636" i="3"/>
  <c r="E1636" i="3"/>
  <c r="B1636" i="3"/>
  <c r="U1635" i="3"/>
  <c r="K1635" i="3"/>
  <c r="E1635" i="3"/>
  <c r="B1635" i="3"/>
  <c r="U1634" i="3"/>
  <c r="K1634" i="3"/>
  <c r="E1634" i="3"/>
  <c r="B1634" i="3"/>
  <c r="U1633" i="3"/>
  <c r="K1633" i="3"/>
  <c r="E1633" i="3"/>
  <c r="B1633" i="3"/>
  <c r="U1632" i="3"/>
  <c r="K1632" i="3"/>
  <c r="E1632" i="3"/>
  <c r="B1632" i="3"/>
  <c r="U1631" i="3"/>
  <c r="K1631" i="3"/>
  <c r="E1631" i="3"/>
  <c r="B1631" i="3"/>
  <c r="U1630" i="3"/>
  <c r="K1630" i="3"/>
  <c r="E1630" i="3"/>
  <c r="B1630" i="3"/>
  <c r="U1629" i="3"/>
  <c r="K1629" i="3"/>
  <c r="E1629" i="3"/>
  <c r="B1629" i="3"/>
  <c r="U1628" i="3"/>
  <c r="K1628" i="3"/>
  <c r="E1628" i="3"/>
  <c r="B1628" i="3"/>
  <c r="U1627" i="3"/>
  <c r="K1627" i="3"/>
  <c r="E1627" i="3"/>
  <c r="B1627" i="3"/>
  <c r="U1626" i="3"/>
  <c r="K1626" i="3"/>
  <c r="E1626" i="3"/>
  <c r="B1626" i="3"/>
  <c r="U1625" i="3"/>
  <c r="K1625" i="3"/>
  <c r="E1625" i="3"/>
  <c r="B1625" i="3"/>
  <c r="U1624" i="3"/>
  <c r="K1624" i="3"/>
  <c r="E1624" i="3"/>
  <c r="B1624" i="3"/>
  <c r="U1623" i="3"/>
  <c r="K1623" i="3"/>
  <c r="E1623" i="3"/>
  <c r="B1623" i="3"/>
  <c r="U1622" i="3"/>
  <c r="K1622" i="3"/>
  <c r="E1622" i="3"/>
  <c r="B1622" i="3"/>
  <c r="U1621" i="3"/>
  <c r="K1621" i="3"/>
  <c r="E1621" i="3"/>
  <c r="B1621" i="3"/>
  <c r="U1620" i="3"/>
  <c r="K1620" i="3"/>
  <c r="E1620" i="3"/>
  <c r="B1620" i="3"/>
  <c r="U1619" i="3"/>
  <c r="K1619" i="3"/>
  <c r="E1619" i="3"/>
  <c r="B1619" i="3"/>
  <c r="U1618" i="3"/>
  <c r="K1618" i="3"/>
  <c r="E1618" i="3"/>
  <c r="B1618" i="3"/>
  <c r="U1617" i="3"/>
  <c r="K1617" i="3"/>
  <c r="E1617" i="3"/>
  <c r="B1617" i="3"/>
  <c r="U1616" i="3"/>
  <c r="K1616" i="3"/>
  <c r="E1616" i="3"/>
  <c r="B1616" i="3"/>
  <c r="U1615" i="3"/>
  <c r="K1615" i="3"/>
  <c r="E1615" i="3"/>
  <c r="B1615" i="3"/>
  <c r="U1614" i="3"/>
  <c r="K1614" i="3"/>
  <c r="E1614" i="3"/>
  <c r="B1614" i="3"/>
  <c r="U1613" i="3"/>
  <c r="K1613" i="3"/>
  <c r="E1613" i="3"/>
  <c r="B1613" i="3"/>
  <c r="U1612" i="3"/>
  <c r="K1612" i="3"/>
  <c r="E1612" i="3"/>
  <c r="B1612" i="3"/>
  <c r="U1611" i="3"/>
  <c r="K1611" i="3"/>
  <c r="E1611" i="3"/>
  <c r="B1611" i="3"/>
  <c r="U1610" i="3"/>
  <c r="K1610" i="3"/>
  <c r="E1610" i="3"/>
  <c r="B1610" i="3"/>
  <c r="U1609" i="3"/>
  <c r="K1609" i="3"/>
  <c r="E1609" i="3"/>
  <c r="B1609" i="3"/>
  <c r="U1608" i="3"/>
  <c r="K1608" i="3"/>
  <c r="E1608" i="3"/>
  <c r="B1608" i="3"/>
  <c r="U1607" i="3"/>
  <c r="K1607" i="3"/>
  <c r="E1607" i="3"/>
  <c r="B1607" i="3"/>
  <c r="U1606" i="3"/>
  <c r="K1606" i="3"/>
  <c r="E1606" i="3"/>
  <c r="B1606" i="3"/>
  <c r="U1605" i="3"/>
  <c r="K1605" i="3"/>
  <c r="E1605" i="3"/>
  <c r="B1605" i="3"/>
  <c r="U1604" i="3"/>
  <c r="K1604" i="3"/>
  <c r="E1604" i="3"/>
  <c r="B1604" i="3"/>
  <c r="U1603" i="3"/>
  <c r="K1603" i="3"/>
  <c r="E1603" i="3"/>
  <c r="B1603" i="3"/>
  <c r="U1602" i="3"/>
  <c r="K1602" i="3"/>
  <c r="E1602" i="3"/>
  <c r="B1602" i="3"/>
  <c r="U1601" i="3"/>
  <c r="K1601" i="3"/>
  <c r="E1601" i="3"/>
  <c r="B1601" i="3"/>
  <c r="U1600" i="3"/>
  <c r="K1600" i="3"/>
  <c r="E1600" i="3"/>
  <c r="B1600" i="3"/>
  <c r="U1599" i="3"/>
  <c r="K1599" i="3"/>
  <c r="E1599" i="3"/>
  <c r="B1599" i="3"/>
  <c r="U1598" i="3"/>
  <c r="K1598" i="3"/>
  <c r="E1598" i="3"/>
  <c r="B1598" i="3"/>
  <c r="U1597" i="3"/>
  <c r="K1597" i="3"/>
  <c r="E1597" i="3"/>
  <c r="B1597" i="3"/>
  <c r="U1596" i="3"/>
  <c r="K1596" i="3"/>
  <c r="E1596" i="3"/>
  <c r="B1596" i="3"/>
  <c r="U1595" i="3"/>
  <c r="K1595" i="3"/>
  <c r="E1595" i="3"/>
  <c r="B1595" i="3"/>
  <c r="U1594" i="3"/>
  <c r="K1594" i="3"/>
  <c r="E1594" i="3"/>
  <c r="B1594" i="3"/>
  <c r="U1593" i="3"/>
  <c r="K1593" i="3"/>
  <c r="E1593" i="3"/>
  <c r="B1593" i="3"/>
  <c r="U1592" i="3"/>
  <c r="K1592" i="3"/>
  <c r="E1592" i="3"/>
  <c r="B1592" i="3"/>
  <c r="U1591" i="3"/>
  <c r="K1591" i="3"/>
  <c r="E1591" i="3"/>
  <c r="B1591" i="3"/>
  <c r="U1590" i="3"/>
  <c r="K1590" i="3"/>
  <c r="E1590" i="3"/>
  <c r="B1590" i="3"/>
  <c r="U1589" i="3"/>
  <c r="K1589" i="3"/>
  <c r="E1589" i="3"/>
  <c r="B1589" i="3"/>
  <c r="U1588" i="3"/>
  <c r="K1588" i="3"/>
  <c r="E1588" i="3"/>
  <c r="B1588" i="3"/>
  <c r="U1587" i="3"/>
  <c r="K1587" i="3"/>
  <c r="E1587" i="3"/>
  <c r="B1587" i="3"/>
  <c r="U1586" i="3"/>
  <c r="K1586" i="3"/>
  <c r="E1586" i="3"/>
  <c r="B1586" i="3"/>
  <c r="U1585" i="3"/>
  <c r="K1585" i="3"/>
  <c r="E1585" i="3"/>
  <c r="B1585" i="3"/>
  <c r="U1584" i="3"/>
  <c r="K1584" i="3"/>
  <c r="E1584" i="3"/>
  <c r="B1584" i="3"/>
  <c r="U1583" i="3"/>
  <c r="K1583" i="3"/>
  <c r="E1583" i="3"/>
  <c r="B1583" i="3"/>
  <c r="U1582" i="3"/>
  <c r="K1582" i="3"/>
  <c r="E1582" i="3"/>
  <c r="B1582" i="3"/>
  <c r="U1581" i="3"/>
  <c r="K1581" i="3"/>
  <c r="E1581" i="3"/>
  <c r="B1581" i="3"/>
  <c r="U1580" i="3"/>
  <c r="K1580" i="3"/>
  <c r="E1580" i="3"/>
  <c r="B1580" i="3"/>
  <c r="U1579" i="3"/>
  <c r="K1579" i="3"/>
  <c r="E1579" i="3"/>
  <c r="B1579" i="3"/>
  <c r="U1578" i="3"/>
  <c r="K1578" i="3"/>
  <c r="E1578" i="3"/>
  <c r="B1578" i="3"/>
  <c r="U1577" i="3"/>
  <c r="K1577" i="3"/>
  <c r="E1577" i="3"/>
  <c r="B1577" i="3"/>
  <c r="U1576" i="3"/>
  <c r="K1576" i="3"/>
  <c r="E1576" i="3"/>
  <c r="B1576" i="3"/>
  <c r="U1575" i="3"/>
  <c r="K1575" i="3"/>
  <c r="E1575" i="3"/>
  <c r="B1575" i="3"/>
  <c r="U1574" i="3"/>
  <c r="K1574" i="3"/>
  <c r="E1574" i="3"/>
  <c r="B1574" i="3"/>
  <c r="U1573" i="3"/>
  <c r="K1573" i="3"/>
  <c r="E1573" i="3"/>
  <c r="B1573" i="3"/>
  <c r="U1572" i="3"/>
  <c r="K1572" i="3"/>
  <c r="E1572" i="3"/>
  <c r="B1572" i="3"/>
  <c r="U1571" i="3"/>
  <c r="K1571" i="3"/>
  <c r="E1571" i="3"/>
  <c r="B1571" i="3"/>
  <c r="U1570" i="3"/>
  <c r="K1570" i="3"/>
  <c r="E1570" i="3"/>
  <c r="B1570" i="3"/>
  <c r="U1569" i="3"/>
  <c r="K1569" i="3"/>
  <c r="E1569" i="3"/>
  <c r="B1569" i="3"/>
  <c r="U1568" i="3"/>
  <c r="K1568" i="3"/>
  <c r="E1568" i="3"/>
  <c r="B1568" i="3"/>
  <c r="U1567" i="3"/>
  <c r="K1567" i="3"/>
  <c r="E1567" i="3"/>
  <c r="B1567" i="3"/>
  <c r="U1566" i="3"/>
  <c r="K1566" i="3"/>
  <c r="E1566" i="3"/>
  <c r="B1566" i="3"/>
  <c r="U1565" i="3"/>
  <c r="K1565" i="3"/>
  <c r="E1565" i="3"/>
  <c r="B1565" i="3"/>
  <c r="U1564" i="3"/>
  <c r="K1564" i="3"/>
  <c r="E1564" i="3"/>
  <c r="B1564" i="3"/>
  <c r="U1563" i="3"/>
  <c r="K1563" i="3"/>
  <c r="E1563" i="3"/>
  <c r="B1563" i="3"/>
  <c r="U1562" i="3"/>
  <c r="K1562" i="3"/>
  <c r="E1562" i="3"/>
  <c r="B1562" i="3"/>
  <c r="U1561" i="3"/>
  <c r="K1561" i="3"/>
  <c r="E1561" i="3"/>
  <c r="B1561" i="3"/>
  <c r="U1560" i="3"/>
  <c r="K1560" i="3"/>
  <c r="E1560" i="3"/>
  <c r="B1560" i="3"/>
  <c r="U1559" i="3"/>
  <c r="K1559" i="3"/>
  <c r="E1559" i="3"/>
  <c r="B1559" i="3"/>
  <c r="U1558" i="3"/>
  <c r="K1558" i="3"/>
  <c r="E1558" i="3"/>
  <c r="B1558" i="3"/>
  <c r="U1557" i="3"/>
  <c r="K1557" i="3"/>
  <c r="E1557" i="3"/>
  <c r="B1557" i="3"/>
  <c r="U1556" i="3"/>
  <c r="K1556" i="3"/>
  <c r="E1556" i="3"/>
  <c r="B1556" i="3"/>
  <c r="U1555" i="3"/>
  <c r="K1555" i="3"/>
  <c r="E1555" i="3"/>
  <c r="B1555" i="3"/>
  <c r="U1554" i="3"/>
  <c r="K1554" i="3"/>
  <c r="E1554" i="3"/>
  <c r="B1554" i="3"/>
  <c r="U1553" i="3"/>
  <c r="K1553" i="3"/>
  <c r="E1553" i="3"/>
  <c r="B1553" i="3"/>
  <c r="U1552" i="3"/>
  <c r="K1552" i="3"/>
  <c r="E1552" i="3"/>
  <c r="B1552" i="3"/>
  <c r="U1551" i="3"/>
  <c r="K1551" i="3"/>
  <c r="E1551" i="3"/>
  <c r="B1551" i="3"/>
  <c r="U1550" i="3"/>
  <c r="K1550" i="3"/>
  <c r="E1550" i="3"/>
  <c r="B1550" i="3"/>
  <c r="U1549" i="3"/>
  <c r="K1549" i="3"/>
  <c r="E1549" i="3"/>
  <c r="B1549" i="3"/>
  <c r="U1548" i="3"/>
  <c r="K1548" i="3"/>
  <c r="E1548" i="3"/>
  <c r="B1548" i="3"/>
  <c r="U1547" i="3"/>
  <c r="K1547" i="3"/>
  <c r="E1547" i="3"/>
  <c r="B1547" i="3"/>
  <c r="U1546" i="3"/>
  <c r="K1546" i="3"/>
  <c r="E1546" i="3"/>
  <c r="B1546" i="3"/>
  <c r="U1545" i="3"/>
  <c r="K1545" i="3"/>
  <c r="E1545" i="3"/>
  <c r="B1545" i="3"/>
  <c r="U1544" i="3"/>
  <c r="K1544" i="3"/>
  <c r="E1544" i="3"/>
  <c r="B1544" i="3"/>
  <c r="U1543" i="3"/>
  <c r="K1543" i="3"/>
  <c r="E1543" i="3"/>
  <c r="B1543" i="3"/>
  <c r="U1542" i="3"/>
  <c r="K1542" i="3"/>
  <c r="E1542" i="3"/>
  <c r="B1542" i="3"/>
  <c r="U1541" i="3"/>
  <c r="K1541" i="3"/>
  <c r="E1541" i="3"/>
  <c r="B1541" i="3"/>
  <c r="U1540" i="3"/>
  <c r="K1540" i="3"/>
  <c r="E1540" i="3"/>
  <c r="B1540" i="3"/>
  <c r="U1539" i="3"/>
  <c r="K1539" i="3"/>
  <c r="E1539" i="3"/>
  <c r="B1539" i="3"/>
  <c r="U1538" i="3"/>
  <c r="K1538" i="3"/>
  <c r="E1538" i="3"/>
  <c r="B1538" i="3"/>
  <c r="U1537" i="3"/>
  <c r="K1537" i="3"/>
  <c r="E1537" i="3"/>
  <c r="B1537" i="3"/>
  <c r="U1536" i="3"/>
  <c r="K1536" i="3"/>
  <c r="E1536" i="3"/>
  <c r="B1536" i="3"/>
  <c r="U1535" i="3"/>
  <c r="K1535" i="3"/>
  <c r="E1535" i="3"/>
  <c r="B1535" i="3"/>
  <c r="U1534" i="3"/>
  <c r="K1534" i="3"/>
  <c r="E1534" i="3"/>
  <c r="B1534" i="3"/>
  <c r="U1533" i="3"/>
  <c r="K1533" i="3"/>
  <c r="E1533" i="3"/>
  <c r="B1533" i="3"/>
  <c r="U1532" i="3"/>
  <c r="K1532" i="3"/>
  <c r="E1532" i="3"/>
  <c r="B1532" i="3"/>
  <c r="U1531" i="3"/>
  <c r="K1531" i="3"/>
  <c r="E1531" i="3"/>
  <c r="B1531" i="3"/>
  <c r="U1530" i="3"/>
  <c r="K1530" i="3"/>
  <c r="E1530" i="3"/>
  <c r="B1530" i="3"/>
  <c r="U1529" i="3"/>
  <c r="K1529" i="3"/>
  <c r="E1529" i="3"/>
  <c r="B1529" i="3"/>
  <c r="U1528" i="3"/>
  <c r="K1528" i="3"/>
  <c r="E1528" i="3"/>
  <c r="B1528" i="3"/>
  <c r="U1527" i="3"/>
  <c r="K1527" i="3"/>
  <c r="E1527" i="3"/>
  <c r="B1527" i="3"/>
  <c r="U1526" i="3"/>
  <c r="K1526" i="3"/>
  <c r="E1526" i="3"/>
  <c r="B1526" i="3"/>
  <c r="U1525" i="3"/>
  <c r="K1525" i="3"/>
  <c r="E1525" i="3"/>
  <c r="B1525" i="3"/>
  <c r="U1524" i="3"/>
  <c r="K1524" i="3"/>
  <c r="E1524" i="3"/>
  <c r="B1524" i="3"/>
  <c r="U1523" i="3"/>
  <c r="K1523" i="3"/>
  <c r="E1523" i="3"/>
  <c r="B1523" i="3"/>
  <c r="U1522" i="3"/>
  <c r="K1522" i="3"/>
  <c r="E1522" i="3"/>
  <c r="B1522" i="3"/>
  <c r="U1521" i="3"/>
  <c r="K1521" i="3"/>
  <c r="E1521" i="3"/>
  <c r="B1521" i="3"/>
  <c r="U1520" i="3"/>
  <c r="K1520" i="3"/>
  <c r="E1520" i="3"/>
  <c r="B1520" i="3"/>
  <c r="U1519" i="3"/>
  <c r="K1519" i="3"/>
  <c r="E1519" i="3"/>
  <c r="B1519" i="3"/>
  <c r="U1518" i="3"/>
  <c r="K1518" i="3"/>
  <c r="E1518" i="3"/>
  <c r="B1518" i="3"/>
  <c r="U1517" i="3"/>
  <c r="K1517" i="3"/>
  <c r="E1517" i="3"/>
  <c r="B1517" i="3"/>
  <c r="U1516" i="3"/>
  <c r="K1516" i="3"/>
  <c r="E1516" i="3"/>
  <c r="B1516" i="3"/>
  <c r="U1515" i="3"/>
  <c r="K1515" i="3"/>
  <c r="E1515" i="3"/>
  <c r="B1515" i="3"/>
  <c r="U1514" i="3"/>
  <c r="K1514" i="3"/>
  <c r="E1514" i="3"/>
  <c r="B1514" i="3"/>
  <c r="U1513" i="3"/>
  <c r="K1513" i="3"/>
  <c r="E1513" i="3"/>
  <c r="B1513" i="3"/>
  <c r="U1512" i="3"/>
  <c r="K1512" i="3"/>
  <c r="E1512" i="3"/>
  <c r="B1512" i="3"/>
  <c r="U1511" i="3"/>
  <c r="K1511" i="3"/>
  <c r="E1511" i="3"/>
  <c r="B1511" i="3"/>
  <c r="U1510" i="3"/>
  <c r="K1510" i="3"/>
  <c r="E1510" i="3"/>
  <c r="B1510" i="3"/>
  <c r="U1509" i="3"/>
  <c r="K1509" i="3"/>
  <c r="E1509" i="3"/>
  <c r="B1509" i="3"/>
  <c r="U1508" i="3"/>
  <c r="K1508" i="3"/>
  <c r="E1508" i="3"/>
  <c r="B1508" i="3"/>
  <c r="U1507" i="3"/>
  <c r="K1507" i="3"/>
  <c r="E1507" i="3"/>
  <c r="B1507" i="3"/>
  <c r="U1506" i="3"/>
  <c r="K1506" i="3"/>
  <c r="E1506" i="3"/>
  <c r="B1506" i="3"/>
  <c r="U1505" i="3"/>
  <c r="K1505" i="3"/>
  <c r="E1505" i="3"/>
  <c r="B1505" i="3"/>
  <c r="U1504" i="3"/>
  <c r="K1504" i="3"/>
  <c r="E1504" i="3"/>
  <c r="B1504" i="3"/>
  <c r="U1503" i="3"/>
  <c r="K1503" i="3"/>
  <c r="E1503" i="3"/>
  <c r="B1503" i="3"/>
  <c r="U1502" i="3"/>
  <c r="K1502" i="3"/>
  <c r="E1502" i="3"/>
  <c r="B1502" i="3"/>
  <c r="U1501" i="3"/>
  <c r="K1501" i="3"/>
  <c r="E1501" i="3"/>
  <c r="B1501" i="3"/>
  <c r="U1500" i="3"/>
  <c r="K1500" i="3"/>
  <c r="E1500" i="3"/>
  <c r="B1500" i="3"/>
  <c r="U1499" i="3"/>
  <c r="K1499" i="3"/>
  <c r="E1499" i="3"/>
  <c r="B1499" i="3"/>
  <c r="U1498" i="3"/>
  <c r="K1498" i="3"/>
  <c r="E1498" i="3"/>
  <c r="B1498" i="3"/>
  <c r="U1497" i="3"/>
  <c r="K1497" i="3"/>
  <c r="E1497" i="3"/>
  <c r="B1497" i="3"/>
  <c r="U1496" i="3"/>
  <c r="K1496" i="3"/>
  <c r="E1496" i="3"/>
  <c r="B1496" i="3"/>
  <c r="U1495" i="3"/>
  <c r="K1495" i="3"/>
  <c r="E1495" i="3"/>
  <c r="B1495" i="3"/>
  <c r="U1494" i="3"/>
  <c r="K1494" i="3"/>
  <c r="E1494" i="3"/>
  <c r="B1494" i="3"/>
  <c r="U1493" i="3"/>
  <c r="K1493" i="3"/>
  <c r="E1493" i="3"/>
  <c r="B1493" i="3"/>
  <c r="U1492" i="3"/>
  <c r="K1492" i="3"/>
  <c r="E1492" i="3"/>
  <c r="B1492" i="3"/>
  <c r="U1491" i="3"/>
  <c r="K1491" i="3"/>
  <c r="E1491" i="3"/>
  <c r="B1491" i="3"/>
  <c r="U1490" i="3"/>
  <c r="K1490" i="3"/>
  <c r="E1490" i="3"/>
  <c r="B1490" i="3"/>
  <c r="U1489" i="3"/>
  <c r="K1489" i="3"/>
  <c r="E1489" i="3"/>
  <c r="B1489" i="3"/>
  <c r="U1488" i="3"/>
  <c r="K1488" i="3"/>
  <c r="E1488" i="3"/>
  <c r="B1488" i="3"/>
  <c r="U1487" i="3"/>
  <c r="K1487" i="3"/>
  <c r="E1487" i="3"/>
  <c r="B1487" i="3"/>
  <c r="U1486" i="3"/>
  <c r="K1486" i="3"/>
  <c r="E1486" i="3"/>
  <c r="B1486" i="3"/>
  <c r="U1485" i="3"/>
  <c r="K1485" i="3"/>
  <c r="E1485" i="3"/>
  <c r="B1485" i="3"/>
  <c r="U1484" i="3"/>
  <c r="K1484" i="3"/>
  <c r="E1484" i="3"/>
  <c r="B1484" i="3"/>
  <c r="U1483" i="3"/>
  <c r="K1483" i="3"/>
  <c r="E1483" i="3"/>
  <c r="B1483" i="3"/>
  <c r="U1482" i="3"/>
  <c r="K1482" i="3"/>
  <c r="E1482" i="3"/>
  <c r="B1482" i="3"/>
  <c r="U1481" i="3"/>
  <c r="K1481" i="3"/>
  <c r="E1481" i="3"/>
  <c r="B1481" i="3"/>
  <c r="U1480" i="3"/>
  <c r="K1480" i="3"/>
  <c r="E1480" i="3"/>
  <c r="B1480" i="3"/>
  <c r="U1479" i="3"/>
  <c r="K1479" i="3"/>
  <c r="E1479" i="3"/>
  <c r="B1479" i="3"/>
  <c r="U1478" i="3"/>
  <c r="K1478" i="3"/>
  <c r="E1478" i="3"/>
  <c r="B1478" i="3"/>
  <c r="U1477" i="3"/>
  <c r="K1477" i="3"/>
  <c r="E1477" i="3"/>
  <c r="B1477" i="3"/>
  <c r="U1476" i="3"/>
  <c r="K1476" i="3"/>
  <c r="E1476" i="3"/>
  <c r="B1476" i="3"/>
  <c r="U1475" i="3"/>
  <c r="K1475" i="3"/>
  <c r="E1475" i="3"/>
  <c r="B1475" i="3"/>
  <c r="U1474" i="3"/>
  <c r="K1474" i="3"/>
  <c r="E1474" i="3"/>
  <c r="B1474" i="3"/>
  <c r="U1473" i="3"/>
  <c r="K1473" i="3"/>
  <c r="E1473" i="3"/>
  <c r="B1473" i="3"/>
  <c r="U1472" i="3"/>
  <c r="K1472" i="3"/>
  <c r="E1472" i="3"/>
  <c r="B1472" i="3"/>
  <c r="U1471" i="3"/>
  <c r="K1471" i="3"/>
  <c r="E1471" i="3"/>
  <c r="B1471" i="3"/>
  <c r="U1470" i="3"/>
  <c r="K1470" i="3"/>
  <c r="E1470" i="3"/>
  <c r="B1470" i="3"/>
  <c r="U1469" i="3"/>
  <c r="K1469" i="3"/>
  <c r="E1469" i="3"/>
  <c r="B1469" i="3"/>
  <c r="U1468" i="3"/>
  <c r="K1468" i="3"/>
  <c r="E1468" i="3"/>
  <c r="B1468" i="3"/>
  <c r="U1467" i="3"/>
  <c r="K1467" i="3"/>
  <c r="E1467" i="3"/>
  <c r="B1467" i="3"/>
  <c r="U1466" i="3"/>
  <c r="K1466" i="3"/>
  <c r="E1466" i="3"/>
  <c r="B1466" i="3"/>
  <c r="U1465" i="3"/>
  <c r="K1465" i="3"/>
  <c r="E1465" i="3"/>
  <c r="B1465" i="3"/>
  <c r="U1464" i="3"/>
  <c r="K1464" i="3"/>
  <c r="E1464" i="3"/>
  <c r="B1464" i="3"/>
  <c r="U1463" i="3"/>
  <c r="K1463" i="3"/>
  <c r="E1463" i="3"/>
  <c r="B1463" i="3"/>
  <c r="U1462" i="3"/>
  <c r="K1462" i="3"/>
  <c r="E1462" i="3"/>
  <c r="B1462" i="3"/>
  <c r="U1461" i="3"/>
  <c r="K1461" i="3"/>
  <c r="E1461" i="3"/>
  <c r="B1461" i="3"/>
  <c r="U1460" i="3"/>
  <c r="K1460" i="3"/>
  <c r="E1460" i="3"/>
  <c r="B1460" i="3"/>
  <c r="U1459" i="3"/>
  <c r="K1459" i="3"/>
  <c r="E1459" i="3"/>
  <c r="B1459" i="3"/>
  <c r="U1458" i="3"/>
  <c r="K1458" i="3"/>
  <c r="E1458" i="3"/>
  <c r="B1458" i="3"/>
  <c r="U1457" i="3"/>
  <c r="K1457" i="3"/>
  <c r="E1457" i="3"/>
  <c r="B1457" i="3"/>
  <c r="U1456" i="3"/>
  <c r="K1456" i="3"/>
  <c r="E1456" i="3"/>
  <c r="B1456" i="3"/>
  <c r="U1455" i="3"/>
  <c r="K1455" i="3"/>
  <c r="E1455" i="3"/>
  <c r="B1455" i="3"/>
  <c r="U1454" i="3"/>
  <c r="K1454" i="3"/>
  <c r="E1454" i="3"/>
  <c r="B1454" i="3"/>
  <c r="U1453" i="3"/>
  <c r="K1453" i="3"/>
  <c r="E1453" i="3"/>
  <c r="B1453" i="3"/>
  <c r="U1452" i="3"/>
  <c r="K1452" i="3"/>
  <c r="E1452" i="3"/>
  <c r="B1452" i="3"/>
  <c r="U1451" i="3"/>
  <c r="K1451" i="3"/>
  <c r="E1451" i="3"/>
  <c r="B1451" i="3"/>
  <c r="U1450" i="3"/>
  <c r="K1450" i="3"/>
  <c r="E1450" i="3"/>
  <c r="B1450" i="3"/>
  <c r="U1449" i="3"/>
  <c r="K1449" i="3"/>
  <c r="E1449" i="3"/>
  <c r="B1449" i="3"/>
  <c r="U1448" i="3"/>
  <c r="K1448" i="3"/>
  <c r="E1448" i="3"/>
  <c r="B1448" i="3"/>
  <c r="U1447" i="3"/>
  <c r="K1447" i="3"/>
  <c r="E1447" i="3"/>
  <c r="B1447" i="3"/>
  <c r="U1446" i="3"/>
  <c r="K1446" i="3"/>
  <c r="E1446" i="3"/>
  <c r="B1446" i="3"/>
  <c r="U1445" i="3"/>
  <c r="K1445" i="3"/>
  <c r="E1445" i="3"/>
  <c r="B1445" i="3"/>
  <c r="U1444" i="3"/>
  <c r="K1444" i="3"/>
  <c r="E1444" i="3"/>
  <c r="B1444" i="3"/>
  <c r="U1443" i="3"/>
  <c r="K1443" i="3"/>
  <c r="E1443" i="3"/>
  <c r="B1443" i="3"/>
  <c r="U1442" i="3"/>
  <c r="K1442" i="3"/>
  <c r="E1442" i="3"/>
  <c r="B1442" i="3"/>
  <c r="U1441" i="3"/>
  <c r="K1441" i="3"/>
  <c r="E1441" i="3"/>
  <c r="B1441" i="3"/>
  <c r="U1440" i="3"/>
  <c r="K1440" i="3"/>
  <c r="E1440" i="3"/>
  <c r="B1440" i="3"/>
  <c r="U1439" i="3"/>
  <c r="K1439" i="3"/>
  <c r="E1439" i="3"/>
  <c r="B1439" i="3"/>
  <c r="U1438" i="3"/>
  <c r="K1438" i="3"/>
  <c r="E1438" i="3"/>
  <c r="B1438" i="3"/>
  <c r="U1437" i="3"/>
  <c r="K1437" i="3"/>
  <c r="E1437" i="3"/>
  <c r="B1437" i="3"/>
  <c r="U1436" i="3"/>
  <c r="K1436" i="3"/>
  <c r="E1436" i="3"/>
  <c r="B1436" i="3"/>
  <c r="U1435" i="3"/>
  <c r="K1435" i="3"/>
  <c r="E1435" i="3"/>
  <c r="B1435" i="3"/>
  <c r="U1434" i="3"/>
  <c r="K1434" i="3"/>
  <c r="E1434" i="3"/>
  <c r="B1434" i="3"/>
  <c r="U1433" i="3"/>
  <c r="K1433" i="3"/>
  <c r="E1433" i="3"/>
  <c r="B1433" i="3"/>
  <c r="U1432" i="3"/>
  <c r="K1432" i="3"/>
  <c r="E1432" i="3"/>
  <c r="B1432" i="3"/>
  <c r="U1431" i="3"/>
  <c r="K1431" i="3"/>
  <c r="E1431" i="3"/>
  <c r="B1431" i="3"/>
  <c r="U1430" i="3"/>
  <c r="K1430" i="3"/>
  <c r="E1430" i="3"/>
  <c r="B1430" i="3"/>
  <c r="U1429" i="3"/>
  <c r="K1429" i="3"/>
  <c r="E1429" i="3"/>
  <c r="B1429" i="3"/>
  <c r="U1428" i="3"/>
  <c r="K1428" i="3"/>
  <c r="E1428" i="3"/>
  <c r="B1428" i="3"/>
  <c r="U1427" i="3"/>
  <c r="K1427" i="3"/>
  <c r="E1427" i="3"/>
  <c r="B1427" i="3"/>
  <c r="U1426" i="3"/>
  <c r="K1426" i="3"/>
  <c r="E1426" i="3"/>
  <c r="B1426" i="3"/>
  <c r="U1425" i="3"/>
  <c r="K1425" i="3"/>
  <c r="E1425" i="3"/>
  <c r="B1425" i="3"/>
  <c r="U1424" i="3"/>
  <c r="K1424" i="3"/>
  <c r="E1424" i="3"/>
  <c r="B1424" i="3"/>
  <c r="U1423" i="3"/>
  <c r="K1423" i="3"/>
  <c r="E1423" i="3"/>
  <c r="B1423" i="3"/>
  <c r="U1422" i="3"/>
  <c r="K1422" i="3"/>
  <c r="E1422" i="3"/>
  <c r="B1422" i="3"/>
  <c r="U1421" i="3"/>
  <c r="K1421" i="3"/>
  <c r="E1421" i="3"/>
  <c r="B1421" i="3"/>
  <c r="U1420" i="3"/>
  <c r="K1420" i="3"/>
  <c r="E1420" i="3"/>
  <c r="B1420" i="3"/>
  <c r="U1419" i="3"/>
  <c r="K1419" i="3"/>
  <c r="E1419" i="3"/>
  <c r="B1419" i="3"/>
  <c r="U1418" i="3"/>
  <c r="K1418" i="3"/>
  <c r="E1418" i="3"/>
  <c r="B1418" i="3"/>
  <c r="U1417" i="3"/>
  <c r="K1417" i="3"/>
  <c r="E1417" i="3"/>
  <c r="B1417" i="3"/>
  <c r="U1416" i="3"/>
  <c r="K1416" i="3"/>
  <c r="E1416" i="3"/>
  <c r="B1416" i="3"/>
  <c r="U1415" i="3"/>
  <c r="K1415" i="3"/>
  <c r="E1415" i="3"/>
  <c r="B1415" i="3"/>
  <c r="U1414" i="3"/>
  <c r="K1414" i="3"/>
  <c r="E1414" i="3"/>
  <c r="B1414" i="3"/>
  <c r="U1413" i="3"/>
  <c r="K1413" i="3"/>
  <c r="E1413" i="3"/>
  <c r="B1413" i="3"/>
  <c r="K1412" i="3"/>
  <c r="E1412" i="3"/>
  <c r="B1412" i="3"/>
  <c r="U1411" i="3"/>
  <c r="K1411" i="3"/>
  <c r="E1411" i="3"/>
  <c r="B1411" i="3"/>
  <c r="U1410" i="3"/>
  <c r="K1410" i="3"/>
  <c r="E1410" i="3"/>
  <c r="B1410" i="3"/>
  <c r="U1409" i="3"/>
  <c r="K1409" i="3"/>
  <c r="E1409" i="3"/>
  <c r="B1409" i="3"/>
  <c r="U1408" i="3"/>
  <c r="K1408" i="3"/>
  <c r="E1408" i="3"/>
  <c r="B1408" i="3"/>
  <c r="U1407" i="3"/>
  <c r="K1407" i="3"/>
  <c r="E1407" i="3"/>
  <c r="B1407" i="3"/>
  <c r="U1406" i="3"/>
  <c r="K1406" i="3"/>
  <c r="E1406" i="3"/>
  <c r="B1406" i="3"/>
  <c r="U1405" i="3"/>
  <c r="K1405" i="3"/>
  <c r="E1405" i="3"/>
  <c r="B1405" i="3"/>
  <c r="U1404" i="3"/>
  <c r="K1404" i="3"/>
  <c r="E1404" i="3"/>
  <c r="B1404" i="3"/>
  <c r="U1403" i="3"/>
  <c r="K1403" i="3"/>
  <c r="E1403" i="3"/>
  <c r="B1403" i="3"/>
  <c r="U1402" i="3"/>
  <c r="K1402" i="3"/>
  <c r="E1402" i="3"/>
  <c r="B1402" i="3"/>
  <c r="U1401" i="3"/>
  <c r="K1401" i="3"/>
  <c r="E1401" i="3"/>
  <c r="B1401" i="3"/>
  <c r="U1400" i="3"/>
  <c r="K1400" i="3"/>
  <c r="E1400" i="3"/>
  <c r="B1400" i="3"/>
  <c r="U1399" i="3"/>
  <c r="K1399" i="3"/>
  <c r="E1399" i="3"/>
  <c r="B1399" i="3"/>
  <c r="U1398" i="3"/>
  <c r="K1398" i="3"/>
  <c r="E1398" i="3"/>
  <c r="B1398" i="3"/>
  <c r="U1397" i="3"/>
  <c r="K1397" i="3"/>
  <c r="E1397" i="3"/>
  <c r="B1397" i="3"/>
  <c r="U1396" i="3"/>
  <c r="K1396" i="3"/>
  <c r="E1396" i="3"/>
  <c r="B1396" i="3"/>
  <c r="U1395" i="3"/>
  <c r="K1395" i="3"/>
  <c r="E1395" i="3"/>
  <c r="B1395" i="3"/>
  <c r="U1394" i="3"/>
  <c r="K1394" i="3"/>
  <c r="E1394" i="3"/>
  <c r="B1394" i="3"/>
  <c r="U1393" i="3"/>
  <c r="K1393" i="3"/>
  <c r="E1393" i="3"/>
  <c r="B1393" i="3"/>
  <c r="U1392" i="3"/>
  <c r="K1392" i="3"/>
  <c r="E1392" i="3"/>
  <c r="B1392" i="3"/>
  <c r="U1391" i="3"/>
  <c r="K1391" i="3"/>
  <c r="E1391" i="3"/>
  <c r="B1391" i="3"/>
  <c r="U1390" i="3"/>
  <c r="K1390" i="3"/>
  <c r="E1390" i="3"/>
  <c r="B1390" i="3"/>
  <c r="U1389" i="3"/>
  <c r="K1389" i="3"/>
  <c r="E1389" i="3"/>
  <c r="B1389" i="3"/>
  <c r="U1388" i="3"/>
  <c r="K1388" i="3"/>
  <c r="E1388" i="3"/>
  <c r="B1388" i="3"/>
  <c r="U1387" i="3"/>
  <c r="K1387" i="3"/>
  <c r="E1387" i="3"/>
  <c r="B1387" i="3"/>
  <c r="U1386" i="3"/>
  <c r="K1386" i="3"/>
  <c r="E1386" i="3"/>
  <c r="B1386" i="3"/>
  <c r="U1385" i="3"/>
  <c r="K1385" i="3"/>
  <c r="E1385" i="3"/>
  <c r="B1385" i="3"/>
  <c r="U1384" i="3"/>
  <c r="K1384" i="3"/>
  <c r="E1384" i="3"/>
  <c r="B1384" i="3"/>
  <c r="U1383" i="3"/>
  <c r="K1383" i="3"/>
  <c r="E1383" i="3"/>
  <c r="B1383" i="3"/>
  <c r="U1382" i="3"/>
  <c r="K1382" i="3"/>
  <c r="E1382" i="3"/>
  <c r="B1382" i="3"/>
  <c r="U1381" i="3"/>
  <c r="K1381" i="3"/>
  <c r="E1381" i="3"/>
  <c r="B1381" i="3"/>
  <c r="U1380" i="3"/>
  <c r="K1380" i="3"/>
  <c r="E1380" i="3"/>
  <c r="B1380" i="3"/>
  <c r="U1379" i="3"/>
  <c r="K1379" i="3"/>
  <c r="E1379" i="3"/>
  <c r="B1379" i="3"/>
  <c r="U1378" i="3"/>
  <c r="K1378" i="3"/>
  <c r="E1378" i="3"/>
  <c r="B1378" i="3"/>
  <c r="U1377" i="3"/>
  <c r="K1377" i="3"/>
  <c r="E1377" i="3"/>
  <c r="B1377" i="3"/>
  <c r="U1376" i="3"/>
  <c r="K1376" i="3"/>
  <c r="E1376" i="3"/>
  <c r="B1376" i="3"/>
  <c r="U1375" i="3"/>
  <c r="K1375" i="3"/>
  <c r="E1375" i="3"/>
  <c r="B1375" i="3"/>
  <c r="U1374" i="3"/>
  <c r="K1374" i="3"/>
  <c r="E1374" i="3"/>
  <c r="B1374" i="3"/>
  <c r="U1373" i="3"/>
  <c r="K1373" i="3"/>
  <c r="E1373" i="3"/>
  <c r="B1373" i="3"/>
  <c r="U1372" i="3"/>
  <c r="K1372" i="3"/>
  <c r="E1372" i="3"/>
  <c r="B1372" i="3"/>
  <c r="U1371" i="3"/>
  <c r="K1371" i="3"/>
  <c r="E1371" i="3"/>
  <c r="B1371" i="3"/>
  <c r="U1370" i="3"/>
  <c r="K1370" i="3"/>
  <c r="E1370" i="3"/>
  <c r="B1370" i="3"/>
  <c r="U1369" i="3"/>
  <c r="K1369" i="3"/>
  <c r="E1369" i="3"/>
  <c r="B1369" i="3"/>
  <c r="U1368" i="3"/>
  <c r="K1368" i="3"/>
  <c r="E1368" i="3"/>
  <c r="B1368" i="3"/>
  <c r="U1367" i="3"/>
  <c r="K1367" i="3"/>
  <c r="E1367" i="3"/>
  <c r="B1367" i="3"/>
  <c r="U1366" i="3"/>
  <c r="K1366" i="3"/>
  <c r="E1366" i="3"/>
  <c r="B1366" i="3"/>
  <c r="U1365" i="3"/>
  <c r="K1365" i="3"/>
  <c r="E1365" i="3"/>
  <c r="B1365" i="3"/>
  <c r="U1364" i="3"/>
  <c r="K1364" i="3"/>
  <c r="E1364" i="3"/>
  <c r="B1364" i="3"/>
  <c r="U1363" i="3"/>
  <c r="K1363" i="3"/>
  <c r="E1363" i="3"/>
  <c r="B1363" i="3"/>
  <c r="U1362" i="3"/>
  <c r="K1362" i="3"/>
  <c r="E1362" i="3"/>
  <c r="B1362" i="3"/>
  <c r="U1361" i="3"/>
  <c r="K1361" i="3"/>
  <c r="E1361" i="3"/>
  <c r="B1361" i="3"/>
  <c r="U1360" i="3"/>
  <c r="K1360" i="3"/>
  <c r="E1360" i="3"/>
  <c r="B1360" i="3"/>
  <c r="U1359" i="3"/>
  <c r="K1359" i="3"/>
  <c r="E1359" i="3"/>
  <c r="B1359" i="3"/>
  <c r="U1358" i="3"/>
  <c r="K1358" i="3"/>
  <c r="E1358" i="3"/>
  <c r="B1358" i="3"/>
  <c r="U1357" i="3"/>
  <c r="K1357" i="3"/>
  <c r="E1357" i="3"/>
  <c r="B1357" i="3"/>
  <c r="U1356" i="3"/>
  <c r="K1356" i="3"/>
  <c r="E1356" i="3"/>
  <c r="B1356" i="3"/>
  <c r="U1355" i="3"/>
  <c r="K1355" i="3"/>
  <c r="E1355" i="3"/>
  <c r="B1355" i="3"/>
  <c r="U1354" i="3"/>
  <c r="K1354" i="3"/>
  <c r="E1354" i="3"/>
  <c r="B1354" i="3"/>
  <c r="U1353" i="3"/>
  <c r="K1353" i="3"/>
  <c r="E1353" i="3"/>
  <c r="B1353" i="3"/>
  <c r="U1352" i="3"/>
  <c r="K1352" i="3"/>
  <c r="E1352" i="3"/>
  <c r="B1352" i="3"/>
  <c r="U1351" i="3"/>
  <c r="K1351" i="3"/>
  <c r="E1351" i="3"/>
  <c r="B1351" i="3"/>
  <c r="U1350" i="3"/>
  <c r="K1350" i="3"/>
  <c r="E1350" i="3"/>
  <c r="B1350" i="3"/>
  <c r="U1349" i="3"/>
  <c r="K1349" i="3"/>
  <c r="E1349" i="3"/>
  <c r="B1349" i="3"/>
  <c r="U1348" i="3"/>
  <c r="K1348" i="3"/>
  <c r="E1348" i="3"/>
  <c r="B1348" i="3"/>
  <c r="U1347" i="3"/>
  <c r="K1347" i="3"/>
  <c r="E1347" i="3"/>
  <c r="B1347" i="3"/>
  <c r="U1346" i="3"/>
  <c r="K1346" i="3"/>
  <c r="E1346" i="3"/>
  <c r="B1346" i="3"/>
  <c r="U1345" i="3"/>
  <c r="K1345" i="3"/>
  <c r="E1345" i="3"/>
  <c r="B1345" i="3"/>
  <c r="U1344" i="3"/>
  <c r="K1344" i="3"/>
  <c r="E1344" i="3"/>
  <c r="B1344" i="3"/>
  <c r="U1343" i="3"/>
  <c r="K1343" i="3"/>
  <c r="E1343" i="3"/>
  <c r="B1343" i="3"/>
  <c r="U1342" i="3"/>
  <c r="K1342" i="3"/>
  <c r="E1342" i="3"/>
  <c r="B1342" i="3"/>
  <c r="U1341" i="3"/>
  <c r="K1341" i="3"/>
  <c r="E1341" i="3"/>
  <c r="B1341" i="3"/>
  <c r="U1340" i="3"/>
  <c r="K1340" i="3"/>
  <c r="E1340" i="3"/>
  <c r="B1340" i="3"/>
  <c r="U1339" i="3"/>
  <c r="K1339" i="3"/>
  <c r="E1339" i="3"/>
  <c r="B1339" i="3"/>
  <c r="U1338" i="3"/>
  <c r="K1338" i="3"/>
  <c r="E1338" i="3"/>
  <c r="B1338" i="3"/>
  <c r="U1337" i="3"/>
  <c r="K1337" i="3"/>
  <c r="E1337" i="3"/>
  <c r="B1337" i="3"/>
  <c r="U1336" i="3"/>
  <c r="K1336" i="3"/>
  <c r="E1336" i="3"/>
  <c r="B1336" i="3"/>
  <c r="U1335" i="3"/>
  <c r="K1335" i="3"/>
  <c r="E1335" i="3"/>
  <c r="B1335" i="3"/>
  <c r="U1334" i="3"/>
  <c r="K1334" i="3"/>
  <c r="E1334" i="3"/>
  <c r="B1334" i="3"/>
  <c r="U1333" i="3"/>
  <c r="K1333" i="3"/>
  <c r="E1333" i="3"/>
  <c r="B1333" i="3"/>
  <c r="U1332" i="3"/>
  <c r="K1332" i="3"/>
  <c r="E1332" i="3"/>
  <c r="B1332" i="3"/>
  <c r="U1331" i="3"/>
  <c r="K1331" i="3"/>
  <c r="E1331" i="3"/>
  <c r="B1331" i="3"/>
  <c r="U1330" i="3"/>
  <c r="K1330" i="3"/>
  <c r="E1330" i="3"/>
  <c r="B1330" i="3"/>
  <c r="U1329" i="3"/>
  <c r="K1329" i="3"/>
  <c r="E1329" i="3"/>
  <c r="B1329" i="3"/>
  <c r="U1328" i="3"/>
  <c r="K1328" i="3"/>
  <c r="E1328" i="3"/>
  <c r="B1328" i="3"/>
  <c r="U1327" i="3"/>
  <c r="K1327" i="3"/>
  <c r="E1327" i="3"/>
  <c r="B1327" i="3"/>
  <c r="U1326" i="3"/>
  <c r="K1326" i="3"/>
  <c r="E1326" i="3"/>
  <c r="B1326" i="3"/>
  <c r="U1325" i="3"/>
  <c r="K1325" i="3"/>
  <c r="E1325" i="3"/>
  <c r="B1325" i="3"/>
  <c r="U1324" i="3"/>
  <c r="K1324" i="3"/>
  <c r="E1324" i="3"/>
  <c r="B1324" i="3"/>
  <c r="U1323" i="3"/>
  <c r="K1323" i="3"/>
  <c r="E1323" i="3"/>
  <c r="B1323" i="3"/>
  <c r="U1322" i="3"/>
  <c r="K1322" i="3"/>
  <c r="E1322" i="3"/>
  <c r="B1322" i="3"/>
  <c r="U1321" i="3"/>
  <c r="K1321" i="3"/>
  <c r="E1321" i="3"/>
  <c r="B1321" i="3"/>
  <c r="U1320" i="3"/>
  <c r="K1320" i="3"/>
  <c r="E1320" i="3"/>
  <c r="B1320" i="3"/>
  <c r="U1319" i="3"/>
  <c r="K1319" i="3"/>
  <c r="E1319" i="3"/>
  <c r="B1319" i="3"/>
  <c r="U1318" i="3"/>
  <c r="K1318" i="3"/>
  <c r="E1318" i="3"/>
  <c r="B1318" i="3"/>
  <c r="U1317" i="3"/>
  <c r="K1317" i="3"/>
  <c r="E1317" i="3"/>
  <c r="B1317" i="3"/>
  <c r="U1316" i="3"/>
  <c r="K1316" i="3"/>
  <c r="E1316" i="3"/>
  <c r="B1316" i="3"/>
  <c r="U1315" i="3"/>
  <c r="K1315" i="3"/>
  <c r="E1315" i="3"/>
  <c r="B1315" i="3"/>
  <c r="U1314" i="3"/>
  <c r="K1314" i="3"/>
  <c r="E1314" i="3"/>
  <c r="B1314" i="3"/>
  <c r="U1313" i="3"/>
  <c r="K1313" i="3"/>
  <c r="E1313" i="3"/>
  <c r="B1313" i="3"/>
  <c r="U1312" i="3"/>
  <c r="K1312" i="3"/>
  <c r="E1312" i="3"/>
  <c r="B1312" i="3"/>
  <c r="U1311" i="3"/>
  <c r="K1311" i="3"/>
  <c r="E1311" i="3"/>
  <c r="B1311" i="3"/>
  <c r="U1310" i="3"/>
  <c r="K1310" i="3"/>
  <c r="E1310" i="3"/>
  <c r="B1310" i="3"/>
  <c r="U1309" i="3"/>
  <c r="K1309" i="3"/>
  <c r="E1309" i="3"/>
  <c r="B1309" i="3"/>
  <c r="U1308" i="3"/>
  <c r="K1308" i="3"/>
  <c r="E1308" i="3"/>
  <c r="B1308" i="3"/>
  <c r="U1307" i="3"/>
  <c r="K1307" i="3"/>
  <c r="E1307" i="3"/>
  <c r="B1307" i="3"/>
  <c r="U1306" i="3"/>
  <c r="K1306" i="3"/>
  <c r="E1306" i="3"/>
  <c r="B1306" i="3"/>
  <c r="U1305" i="3"/>
  <c r="K1305" i="3"/>
  <c r="E1305" i="3"/>
  <c r="B1305" i="3"/>
  <c r="U1304" i="3"/>
  <c r="K1304" i="3"/>
  <c r="E1304" i="3"/>
  <c r="B1304" i="3"/>
  <c r="U1303" i="3"/>
  <c r="K1303" i="3"/>
  <c r="E1303" i="3"/>
  <c r="B1303" i="3"/>
  <c r="U1302" i="3"/>
  <c r="K1302" i="3"/>
  <c r="E1302" i="3"/>
  <c r="B1302" i="3"/>
  <c r="U1301" i="3"/>
  <c r="K1301" i="3"/>
  <c r="E1301" i="3"/>
  <c r="B1301" i="3"/>
  <c r="U1300" i="3"/>
  <c r="K1300" i="3"/>
  <c r="E1300" i="3"/>
  <c r="B1300" i="3"/>
  <c r="U1299" i="3"/>
  <c r="K1299" i="3"/>
  <c r="E1299" i="3"/>
  <c r="B1299" i="3"/>
  <c r="U1298" i="3"/>
  <c r="K1298" i="3"/>
  <c r="E1298" i="3"/>
  <c r="B1298" i="3"/>
  <c r="U1297" i="3"/>
  <c r="K1297" i="3"/>
  <c r="E1297" i="3"/>
  <c r="B1297" i="3"/>
  <c r="U1296" i="3"/>
  <c r="K1296" i="3"/>
  <c r="E1296" i="3"/>
  <c r="B1296" i="3"/>
  <c r="U1295" i="3"/>
  <c r="K1295" i="3"/>
  <c r="E1295" i="3"/>
  <c r="B1295" i="3"/>
  <c r="U1294" i="3"/>
  <c r="K1294" i="3"/>
  <c r="E1294" i="3"/>
  <c r="B1294" i="3"/>
  <c r="U1293" i="3"/>
  <c r="K1293" i="3"/>
  <c r="E1293" i="3"/>
  <c r="B1293" i="3"/>
  <c r="U1292" i="3"/>
  <c r="K1292" i="3"/>
  <c r="E1292" i="3"/>
  <c r="B1292" i="3"/>
  <c r="U1291" i="3"/>
  <c r="K1291" i="3"/>
  <c r="E1291" i="3"/>
  <c r="B1291" i="3"/>
  <c r="U1290" i="3"/>
  <c r="K1290" i="3"/>
  <c r="E1290" i="3"/>
  <c r="B1290" i="3"/>
  <c r="U1289" i="3"/>
  <c r="K1289" i="3"/>
  <c r="E1289" i="3"/>
  <c r="B1289" i="3"/>
  <c r="U1288" i="3"/>
  <c r="K1288" i="3"/>
  <c r="E1288" i="3"/>
  <c r="B1288" i="3"/>
  <c r="U1287" i="3"/>
  <c r="K1287" i="3"/>
  <c r="E1287" i="3"/>
  <c r="B1287" i="3"/>
  <c r="U1286" i="3"/>
  <c r="K1286" i="3"/>
  <c r="E1286" i="3"/>
  <c r="B1286" i="3"/>
  <c r="U1285" i="3"/>
  <c r="K1285" i="3"/>
  <c r="E1285" i="3"/>
  <c r="B1285" i="3"/>
  <c r="U1284" i="3"/>
  <c r="K1284" i="3"/>
  <c r="E1284" i="3"/>
  <c r="B1284" i="3"/>
  <c r="U1283" i="3"/>
  <c r="K1283" i="3"/>
  <c r="E1283" i="3"/>
  <c r="B1283" i="3"/>
  <c r="U1282" i="3"/>
  <c r="K1282" i="3"/>
  <c r="E1282" i="3"/>
  <c r="B1282" i="3"/>
  <c r="U1281" i="3"/>
  <c r="K1281" i="3"/>
  <c r="E1281" i="3"/>
  <c r="B1281" i="3"/>
  <c r="U1280" i="3"/>
  <c r="K1280" i="3"/>
  <c r="E1280" i="3"/>
  <c r="B1280" i="3"/>
  <c r="U1279" i="3"/>
  <c r="K1279" i="3"/>
  <c r="E1279" i="3"/>
  <c r="B1279" i="3"/>
  <c r="U1278" i="3"/>
  <c r="K1278" i="3"/>
  <c r="E1278" i="3"/>
  <c r="B1278" i="3"/>
  <c r="U1277" i="3"/>
  <c r="K1277" i="3"/>
  <c r="E1277" i="3"/>
  <c r="B1277" i="3"/>
  <c r="U1276" i="3"/>
  <c r="K1276" i="3"/>
  <c r="E1276" i="3"/>
  <c r="B1276" i="3"/>
  <c r="U1275" i="3"/>
  <c r="K1275" i="3"/>
  <c r="E1275" i="3"/>
  <c r="B1275" i="3"/>
  <c r="U1274" i="3"/>
  <c r="K1274" i="3"/>
  <c r="E1274" i="3"/>
  <c r="B1274" i="3"/>
  <c r="U1273" i="3"/>
  <c r="K1273" i="3"/>
  <c r="E1273" i="3"/>
  <c r="B1273" i="3"/>
  <c r="U1272" i="3"/>
  <c r="K1272" i="3"/>
  <c r="E1272" i="3"/>
  <c r="B1272" i="3"/>
  <c r="U1271" i="3"/>
  <c r="K1271" i="3"/>
  <c r="E1271" i="3"/>
  <c r="B1271" i="3"/>
  <c r="U1270" i="3"/>
  <c r="K1270" i="3"/>
  <c r="E1270" i="3"/>
  <c r="B1270" i="3"/>
  <c r="U1269" i="3"/>
  <c r="K1269" i="3"/>
  <c r="E1269" i="3"/>
  <c r="B1269" i="3"/>
  <c r="U1268" i="3"/>
  <c r="K1268" i="3"/>
  <c r="E1268" i="3"/>
  <c r="B1268" i="3"/>
  <c r="U1267" i="3"/>
  <c r="K1267" i="3"/>
  <c r="E1267" i="3"/>
  <c r="B1267" i="3"/>
  <c r="U1266" i="3"/>
  <c r="K1266" i="3"/>
  <c r="E1266" i="3"/>
  <c r="B1266" i="3"/>
  <c r="U1265" i="3"/>
  <c r="K1265" i="3"/>
  <c r="E1265" i="3"/>
  <c r="B1265" i="3"/>
  <c r="U1264" i="3"/>
  <c r="K1264" i="3"/>
  <c r="E1264" i="3"/>
  <c r="B1264" i="3"/>
  <c r="U1263" i="3"/>
  <c r="K1263" i="3"/>
  <c r="E1263" i="3"/>
  <c r="B1263" i="3"/>
  <c r="U1262" i="3"/>
  <c r="K1262" i="3"/>
  <c r="E1262" i="3"/>
  <c r="B1262" i="3"/>
  <c r="U1261" i="3"/>
  <c r="K1261" i="3"/>
  <c r="E1261" i="3"/>
  <c r="B1261" i="3"/>
  <c r="U1260" i="3"/>
  <c r="K1260" i="3"/>
  <c r="E1260" i="3"/>
  <c r="B1260" i="3"/>
  <c r="U1259" i="3"/>
  <c r="K1259" i="3"/>
  <c r="E1259" i="3"/>
  <c r="B1259" i="3"/>
  <c r="U1258" i="3"/>
  <c r="K1258" i="3"/>
  <c r="E1258" i="3"/>
  <c r="B1258" i="3"/>
  <c r="U1257" i="3"/>
  <c r="K1257" i="3"/>
  <c r="E1257" i="3"/>
  <c r="B1257" i="3"/>
  <c r="U1256" i="3"/>
  <c r="K1256" i="3"/>
  <c r="E1256" i="3"/>
  <c r="B1256" i="3"/>
  <c r="U1255" i="3"/>
  <c r="K1255" i="3"/>
  <c r="E1255" i="3"/>
  <c r="B1255" i="3"/>
  <c r="U1254" i="3"/>
  <c r="K1254" i="3"/>
  <c r="E1254" i="3"/>
  <c r="B1254" i="3"/>
  <c r="U1253" i="3"/>
  <c r="K1253" i="3"/>
  <c r="E1253" i="3"/>
  <c r="B1253" i="3"/>
  <c r="U1252" i="3"/>
  <c r="K1252" i="3"/>
  <c r="E1252" i="3"/>
  <c r="B1252" i="3"/>
  <c r="U1251" i="3"/>
  <c r="K1251" i="3"/>
  <c r="E1251" i="3"/>
  <c r="B1251" i="3"/>
  <c r="U1250" i="3"/>
  <c r="K1250" i="3"/>
  <c r="E1250" i="3"/>
  <c r="B1250" i="3"/>
  <c r="U1249" i="3"/>
  <c r="K1249" i="3"/>
  <c r="E1249" i="3"/>
  <c r="B1249" i="3"/>
  <c r="U1248" i="3"/>
  <c r="K1248" i="3"/>
  <c r="E1248" i="3"/>
  <c r="B1248" i="3"/>
  <c r="U1247" i="3"/>
  <c r="K1247" i="3"/>
  <c r="E1247" i="3"/>
  <c r="B1247" i="3"/>
  <c r="U1246" i="3"/>
  <c r="K1246" i="3"/>
  <c r="E1246" i="3"/>
  <c r="B1246" i="3"/>
  <c r="U1245" i="3"/>
  <c r="K1245" i="3"/>
  <c r="E1245" i="3"/>
  <c r="B1245" i="3"/>
  <c r="U1244" i="3"/>
  <c r="K1244" i="3"/>
  <c r="E1244" i="3"/>
  <c r="B1244" i="3"/>
  <c r="U1243" i="3"/>
  <c r="K1243" i="3"/>
  <c r="E1243" i="3"/>
  <c r="B1243" i="3"/>
  <c r="U1242" i="3"/>
  <c r="K1242" i="3"/>
  <c r="E1242" i="3"/>
  <c r="B1242" i="3"/>
  <c r="U1241" i="3"/>
  <c r="K1241" i="3"/>
  <c r="E1241" i="3"/>
  <c r="B1241" i="3"/>
  <c r="U1240" i="3"/>
  <c r="K1240" i="3"/>
  <c r="E1240" i="3"/>
  <c r="B1240" i="3"/>
  <c r="U1239" i="3"/>
  <c r="K1239" i="3"/>
  <c r="E1239" i="3"/>
  <c r="B1239" i="3"/>
  <c r="U1238" i="3"/>
  <c r="K1238" i="3"/>
  <c r="E1238" i="3"/>
  <c r="B1238" i="3"/>
  <c r="U1237" i="3"/>
  <c r="K1237" i="3"/>
  <c r="E1237" i="3"/>
  <c r="B1237" i="3"/>
  <c r="U1236" i="3"/>
  <c r="K1236" i="3"/>
  <c r="E1236" i="3"/>
  <c r="B1236" i="3"/>
  <c r="U1235" i="3"/>
  <c r="K1235" i="3"/>
  <c r="E1235" i="3"/>
  <c r="B1235" i="3"/>
  <c r="U1234" i="3"/>
  <c r="K1234" i="3"/>
  <c r="E1234" i="3"/>
  <c r="B1234" i="3"/>
  <c r="U1233" i="3"/>
  <c r="K1233" i="3"/>
  <c r="E1233" i="3"/>
  <c r="B1233" i="3"/>
  <c r="U1232" i="3"/>
  <c r="K1232" i="3"/>
  <c r="E1232" i="3"/>
  <c r="B1232" i="3"/>
  <c r="U1231" i="3"/>
  <c r="K1231" i="3"/>
  <c r="E1231" i="3"/>
  <c r="B1231" i="3"/>
  <c r="U1230" i="3"/>
  <c r="K1230" i="3"/>
  <c r="E1230" i="3"/>
  <c r="B1230" i="3"/>
  <c r="U1229" i="3"/>
  <c r="K1229" i="3"/>
  <c r="E1229" i="3"/>
  <c r="B1229" i="3"/>
  <c r="U1228" i="3"/>
  <c r="K1228" i="3"/>
  <c r="E1228" i="3"/>
  <c r="B1228" i="3"/>
  <c r="U1227" i="3"/>
  <c r="K1227" i="3"/>
  <c r="E1227" i="3"/>
  <c r="B1227" i="3"/>
  <c r="U1226" i="3"/>
  <c r="K1226" i="3"/>
  <c r="E1226" i="3"/>
  <c r="B1226" i="3"/>
  <c r="U1225" i="3"/>
  <c r="K1225" i="3"/>
  <c r="E1225" i="3"/>
  <c r="B1225" i="3"/>
  <c r="U1224" i="3"/>
  <c r="K1224" i="3"/>
  <c r="E1224" i="3"/>
  <c r="B1224" i="3"/>
  <c r="U1223" i="3"/>
  <c r="K1223" i="3"/>
  <c r="E1223" i="3"/>
  <c r="B1223" i="3"/>
  <c r="U1222" i="3"/>
  <c r="K1222" i="3"/>
  <c r="E1222" i="3"/>
  <c r="B1222" i="3"/>
  <c r="U1221" i="3"/>
  <c r="K1221" i="3"/>
  <c r="E1221" i="3"/>
  <c r="B1221" i="3"/>
  <c r="U1220" i="3"/>
  <c r="K1220" i="3"/>
  <c r="E1220" i="3"/>
  <c r="B1220" i="3"/>
  <c r="U1219" i="3"/>
  <c r="K1219" i="3"/>
  <c r="E1219" i="3"/>
  <c r="B1219" i="3"/>
  <c r="U1218" i="3"/>
  <c r="K1218" i="3"/>
  <c r="E1218" i="3"/>
  <c r="B1218" i="3"/>
  <c r="U1217" i="3"/>
  <c r="K1217" i="3"/>
  <c r="E1217" i="3"/>
  <c r="B1217" i="3"/>
  <c r="U1216" i="3"/>
  <c r="K1216" i="3"/>
  <c r="E1216" i="3"/>
  <c r="B1216" i="3"/>
  <c r="U1215" i="3"/>
  <c r="K1215" i="3"/>
  <c r="E1215" i="3"/>
  <c r="B1215" i="3"/>
  <c r="U1214" i="3"/>
  <c r="K1214" i="3"/>
  <c r="E1214" i="3"/>
  <c r="B1214" i="3"/>
  <c r="U1213" i="3"/>
  <c r="K1213" i="3"/>
  <c r="E1213" i="3"/>
  <c r="B1213" i="3"/>
  <c r="U1212" i="3"/>
  <c r="K1212" i="3"/>
  <c r="E1212" i="3"/>
  <c r="B1212" i="3"/>
  <c r="U1211" i="3"/>
  <c r="K1211" i="3"/>
  <c r="E1211" i="3"/>
  <c r="B1211" i="3"/>
  <c r="U1210" i="3"/>
  <c r="K1210" i="3"/>
  <c r="E1210" i="3"/>
  <c r="B1210" i="3"/>
  <c r="U1209" i="3"/>
  <c r="K1209" i="3"/>
  <c r="E1209" i="3"/>
  <c r="B1209" i="3"/>
  <c r="U1208" i="3"/>
  <c r="K1208" i="3"/>
  <c r="E1208" i="3"/>
  <c r="B1208" i="3"/>
  <c r="U1207" i="3"/>
  <c r="K1207" i="3"/>
  <c r="E1207" i="3"/>
  <c r="B1207" i="3"/>
  <c r="U1206" i="3"/>
  <c r="K1206" i="3"/>
  <c r="E1206" i="3"/>
  <c r="B1206" i="3"/>
  <c r="U1205" i="3"/>
  <c r="K1205" i="3"/>
  <c r="E1205" i="3"/>
  <c r="B1205" i="3"/>
  <c r="U1204" i="3"/>
  <c r="K1204" i="3"/>
  <c r="E1204" i="3"/>
  <c r="B1204" i="3"/>
  <c r="U1203" i="3"/>
  <c r="K1203" i="3"/>
  <c r="E1203" i="3"/>
  <c r="B1203" i="3"/>
  <c r="U1202" i="3"/>
  <c r="K1202" i="3"/>
  <c r="E1202" i="3"/>
  <c r="B1202" i="3"/>
  <c r="U1201" i="3"/>
  <c r="K1201" i="3"/>
  <c r="E1201" i="3"/>
  <c r="B1201" i="3"/>
  <c r="U1200" i="3"/>
  <c r="K1200" i="3"/>
  <c r="E1200" i="3"/>
  <c r="B1200" i="3"/>
  <c r="U1199" i="3"/>
  <c r="K1199" i="3"/>
  <c r="E1199" i="3"/>
  <c r="B1199" i="3"/>
  <c r="U1198" i="3"/>
  <c r="K1198" i="3"/>
  <c r="E1198" i="3"/>
  <c r="B1198" i="3"/>
  <c r="U1197" i="3"/>
  <c r="K1197" i="3"/>
  <c r="E1197" i="3"/>
  <c r="B1197" i="3"/>
  <c r="U1196" i="3"/>
  <c r="K1196" i="3"/>
  <c r="E1196" i="3"/>
  <c r="B1196" i="3"/>
  <c r="U1195" i="3"/>
  <c r="K1195" i="3"/>
  <c r="E1195" i="3"/>
  <c r="B1195" i="3"/>
  <c r="U1194" i="3"/>
  <c r="K1194" i="3"/>
  <c r="E1194" i="3"/>
  <c r="B1194" i="3"/>
  <c r="U1193" i="3"/>
  <c r="K1193" i="3"/>
  <c r="E1193" i="3"/>
  <c r="B1193" i="3"/>
  <c r="U1192" i="3"/>
  <c r="K1192" i="3"/>
  <c r="E1192" i="3"/>
  <c r="B1192" i="3"/>
  <c r="U1191" i="3"/>
  <c r="K1191" i="3"/>
  <c r="E1191" i="3"/>
  <c r="B1191" i="3"/>
  <c r="U1190" i="3"/>
  <c r="K1190" i="3"/>
  <c r="E1190" i="3"/>
  <c r="B1190" i="3"/>
  <c r="U1189" i="3"/>
  <c r="K1189" i="3"/>
  <c r="E1189" i="3"/>
  <c r="B1189" i="3"/>
  <c r="U1188" i="3"/>
  <c r="K1188" i="3"/>
  <c r="E1188" i="3"/>
  <c r="B1188" i="3"/>
  <c r="U1187" i="3"/>
  <c r="K1187" i="3"/>
  <c r="E1187" i="3"/>
  <c r="B1187" i="3"/>
  <c r="U1186" i="3"/>
  <c r="K1186" i="3"/>
  <c r="E1186" i="3"/>
  <c r="B1186" i="3"/>
  <c r="U1185" i="3"/>
  <c r="K1185" i="3"/>
  <c r="E1185" i="3"/>
  <c r="B1185" i="3"/>
  <c r="U1184" i="3"/>
  <c r="K1184" i="3"/>
  <c r="E1184" i="3"/>
  <c r="B1184" i="3"/>
  <c r="U1183" i="3"/>
  <c r="K1183" i="3"/>
  <c r="E1183" i="3"/>
  <c r="B1183" i="3"/>
  <c r="U1182" i="3"/>
  <c r="K1182" i="3"/>
  <c r="E1182" i="3"/>
  <c r="B1182" i="3"/>
  <c r="U1181" i="3"/>
  <c r="K1181" i="3"/>
  <c r="E1181" i="3"/>
  <c r="B1181" i="3"/>
  <c r="U1180" i="3"/>
  <c r="K1180" i="3"/>
  <c r="E1180" i="3"/>
  <c r="B1180" i="3"/>
  <c r="U1179" i="3"/>
  <c r="K1179" i="3"/>
  <c r="E1179" i="3"/>
  <c r="B1179" i="3"/>
  <c r="U1178" i="3"/>
  <c r="K1178" i="3"/>
  <c r="E1178" i="3"/>
  <c r="B1178" i="3"/>
  <c r="U1177" i="3"/>
  <c r="K1177" i="3"/>
  <c r="E1177" i="3"/>
  <c r="B1177" i="3"/>
  <c r="U1176" i="3"/>
  <c r="K1176" i="3"/>
  <c r="E1176" i="3"/>
  <c r="B1176" i="3"/>
  <c r="U1175" i="3"/>
  <c r="K1175" i="3"/>
  <c r="E1175" i="3"/>
  <c r="B1175" i="3"/>
  <c r="U1174" i="3"/>
  <c r="K1174" i="3"/>
  <c r="E1174" i="3"/>
  <c r="B1174" i="3"/>
  <c r="U1173" i="3"/>
  <c r="K1173" i="3"/>
  <c r="E1173" i="3"/>
  <c r="B1173" i="3"/>
  <c r="U1172" i="3"/>
  <c r="K1172" i="3"/>
  <c r="E1172" i="3"/>
  <c r="B1172" i="3"/>
  <c r="U1171" i="3"/>
  <c r="K1171" i="3"/>
  <c r="E1171" i="3"/>
  <c r="B1171" i="3"/>
  <c r="U1170" i="3"/>
  <c r="K1170" i="3"/>
  <c r="E1170" i="3"/>
  <c r="B1170" i="3"/>
  <c r="U1169" i="3"/>
  <c r="K1169" i="3"/>
  <c r="E1169" i="3"/>
  <c r="B1169" i="3"/>
  <c r="U1168" i="3"/>
  <c r="K1168" i="3"/>
  <c r="E1168" i="3"/>
  <c r="B1168" i="3"/>
  <c r="U1167" i="3"/>
  <c r="K1167" i="3"/>
  <c r="E1167" i="3"/>
  <c r="B1167" i="3"/>
  <c r="U1166" i="3"/>
  <c r="K1166" i="3"/>
  <c r="E1166" i="3"/>
  <c r="B1166" i="3"/>
  <c r="U1165" i="3"/>
  <c r="K1165" i="3"/>
  <c r="E1165" i="3"/>
  <c r="B1165" i="3"/>
  <c r="U1164" i="3"/>
  <c r="K1164" i="3"/>
  <c r="E1164" i="3"/>
  <c r="B1164" i="3"/>
  <c r="U1163" i="3"/>
  <c r="K1163" i="3"/>
  <c r="E1163" i="3"/>
  <c r="B1163" i="3"/>
  <c r="U1162" i="3"/>
  <c r="K1162" i="3"/>
  <c r="E1162" i="3"/>
  <c r="B1162" i="3"/>
  <c r="U1161" i="3"/>
  <c r="K1161" i="3"/>
  <c r="E1161" i="3"/>
  <c r="B1161" i="3"/>
  <c r="U1160" i="3"/>
  <c r="K1160" i="3"/>
  <c r="E1160" i="3"/>
  <c r="B1160" i="3"/>
  <c r="U1159" i="3"/>
  <c r="K1159" i="3"/>
  <c r="E1159" i="3"/>
  <c r="B1159" i="3"/>
  <c r="U1158" i="3"/>
  <c r="K1158" i="3"/>
  <c r="E1158" i="3"/>
  <c r="B1158" i="3"/>
  <c r="U1157" i="3"/>
  <c r="K1157" i="3"/>
  <c r="E1157" i="3"/>
  <c r="B1157" i="3"/>
  <c r="U1156" i="3"/>
  <c r="K1156" i="3"/>
  <c r="E1156" i="3"/>
  <c r="B1156" i="3"/>
  <c r="U1155" i="3"/>
  <c r="K1155" i="3"/>
  <c r="E1155" i="3"/>
  <c r="B1155" i="3"/>
  <c r="U1154" i="3"/>
  <c r="K1154" i="3"/>
  <c r="E1154" i="3"/>
  <c r="B1154" i="3"/>
  <c r="U1153" i="3"/>
  <c r="K1153" i="3"/>
  <c r="E1153" i="3"/>
  <c r="B1153" i="3"/>
  <c r="U1152" i="3"/>
  <c r="K1152" i="3"/>
  <c r="E1152" i="3"/>
  <c r="B1152" i="3"/>
  <c r="U1151" i="3"/>
  <c r="K1151" i="3"/>
  <c r="E1151" i="3"/>
  <c r="B1151" i="3"/>
  <c r="U1150" i="3"/>
  <c r="K1150" i="3"/>
  <c r="E1150" i="3"/>
  <c r="B1150" i="3"/>
  <c r="U1149" i="3"/>
  <c r="K1149" i="3"/>
  <c r="E1149" i="3"/>
  <c r="B1149" i="3"/>
  <c r="U1148" i="3"/>
  <c r="K1148" i="3"/>
  <c r="E1148" i="3"/>
  <c r="B1148" i="3"/>
  <c r="U1147" i="3"/>
  <c r="K1147" i="3"/>
  <c r="E1147" i="3"/>
  <c r="B1147" i="3"/>
  <c r="U1146" i="3"/>
  <c r="K1146" i="3"/>
  <c r="E1146" i="3"/>
  <c r="B1146" i="3"/>
  <c r="U1145" i="3"/>
  <c r="K1145" i="3"/>
  <c r="E1145" i="3"/>
  <c r="B1145" i="3"/>
  <c r="U1144" i="3"/>
  <c r="K1144" i="3"/>
  <c r="E1144" i="3"/>
  <c r="B1144" i="3"/>
  <c r="U1143" i="3"/>
  <c r="K1143" i="3"/>
  <c r="E1143" i="3"/>
  <c r="B1143" i="3"/>
  <c r="U1142" i="3"/>
  <c r="K1142" i="3"/>
  <c r="E1142" i="3"/>
  <c r="B1142" i="3"/>
  <c r="U1141" i="3"/>
  <c r="K1141" i="3"/>
  <c r="E1141" i="3"/>
  <c r="B1141" i="3"/>
  <c r="U1140" i="3"/>
  <c r="K1140" i="3"/>
  <c r="E1140" i="3"/>
  <c r="B1140" i="3"/>
  <c r="U1139" i="3"/>
  <c r="K1139" i="3"/>
  <c r="E1139" i="3"/>
  <c r="B1139" i="3"/>
  <c r="U1138" i="3"/>
  <c r="K1138" i="3"/>
  <c r="E1138" i="3"/>
  <c r="B1138" i="3"/>
  <c r="U1137" i="3"/>
  <c r="K1137" i="3"/>
  <c r="E1137" i="3"/>
  <c r="B1137" i="3"/>
  <c r="U1136" i="3"/>
  <c r="K1136" i="3"/>
  <c r="E1136" i="3"/>
  <c r="B1136" i="3"/>
  <c r="U1135" i="3"/>
  <c r="K1135" i="3"/>
  <c r="E1135" i="3"/>
  <c r="B1135" i="3"/>
  <c r="U1134" i="3"/>
  <c r="K1134" i="3"/>
  <c r="E1134" i="3"/>
  <c r="B1134" i="3"/>
  <c r="U1133" i="3"/>
  <c r="K1133" i="3"/>
  <c r="E1133" i="3"/>
  <c r="B1133" i="3"/>
  <c r="U1132" i="3"/>
  <c r="K1132" i="3"/>
  <c r="E1132" i="3"/>
  <c r="B1132" i="3"/>
  <c r="U1131" i="3"/>
  <c r="K1131" i="3"/>
  <c r="E1131" i="3"/>
  <c r="B1131" i="3"/>
  <c r="U1130" i="3"/>
  <c r="K1130" i="3"/>
  <c r="E1130" i="3"/>
  <c r="B1130" i="3"/>
  <c r="U1129" i="3"/>
  <c r="K1129" i="3"/>
  <c r="E1129" i="3"/>
  <c r="B1129" i="3"/>
  <c r="U1128" i="3"/>
  <c r="K1128" i="3"/>
  <c r="E1128" i="3"/>
  <c r="B1128" i="3"/>
  <c r="U1127" i="3"/>
  <c r="K1127" i="3"/>
  <c r="E1127" i="3"/>
  <c r="B1127" i="3"/>
  <c r="U1126" i="3"/>
  <c r="K1126" i="3"/>
  <c r="E1126" i="3"/>
  <c r="B1126" i="3"/>
  <c r="U1125" i="3"/>
  <c r="K1125" i="3"/>
  <c r="E1125" i="3"/>
  <c r="B1125" i="3"/>
  <c r="U1124" i="3"/>
  <c r="K1124" i="3"/>
  <c r="E1124" i="3"/>
  <c r="B1124" i="3"/>
  <c r="U1123" i="3"/>
  <c r="K1123" i="3"/>
  <c r="E1123" i="3"/>
  <c r="B1123" i="3"/>
  <c r="U1122" i="3"/>
  <c r="K1122" i="3"/>
  <c r="E1122" i="3"/>
  <c r="B1122" i="3"/>
  <c r="U1121" i="3"/>
  <c r="K1121" i="3"/>
  <c r="E1121" i="3"/>
  <c r="B1121" i="3"/>
  <c r="U1120" i="3"/>
  <c r="K1120" i="3"/>
  <c r="E1120" i="3"/>
  <c r="B1120" i="3"/>
  <c r="U1119" i="3"/>
  <c r="K1119" i="3"/>
  <c r="E1119" i="3"/>
  <c r="B1119" i="3"/>
  <c r="U1118" i="3"/>
  <c r="K1118" i="3"/>
  <c r="E1118" i="3"/>
  <c r="B1118" i="3"/>
  <c r="U1117" i="3"/>
  <c r="K1117" i="3"/>
  <c r="E1117" i="3"/>
  <c r="B1117" i="3"/>
  <c r="U1116" i="3"/>
  <c r="K1116" i="3"/>
  <c r="E1116" i="3"/>
  <c r="B1116" i="3"/>
  <c r="U1115" i="3"/>
  <c r="K1115" i="3"/>
  <c r="E1115" i="3"/>
  <c r="B1115" i="3"/>
  <c r="U1114" i="3"/>
  <c r="K1114" i="3"/>
  <c r="E1114" i="3"/>
  <c r="B1114" i="3"/>
  <c r="U1113" i="3"/>
  <c r="K1113" i="3"/>
  <c r="E1113" i="3"/>
  <c r="B1113" i="3"/>
  <c r="U1112" i="3"/>
  <c r="K1112" i="3"/>
  <c r="E1112" i="3"/>
  <c r="B1112" i="3"/>
  <c r="U1111" i="3"/>
  <c r="K1111" i="3"/>
  <c r="E1111" i="3"/>
  <c r="B1111" i="3"/>
  <c r="U1110" i="3"/>
  <c r="K1110" i="3"/>
  <c r="E1110" i="3"/>
  <c r="B1110" i="3"/>
  <c r="U1109" i="3"/>
  <c r="K1109" i="3"/>
  <c r="E1109" i="3"/>
  <c r="B1109" i="3"/>
  <c r="U1108" i="3"/>
  <c r="K1108" i="3"/>
  <c r="E1108" i="3"/>
  <c r="B1108" i="3"/>
  <c r="U1107" i="3"/>
  <c r="K1107" i="3"/>
  <c r="E1107" i="3"/>
  <c r="B1107" i="3"/>
  <c r="U1106" i="3"/>
  <c r="K1106" i="3"/>
  <c r="E1106" i="3"/>
  <c r="B1106" i="3"/>
  <c r="U1105" i="3"/>
  <c r="K1105" i="3"/>
  <c r="E1105" i="3"/>
  <c r="B1105" i="3"/>
  <c r="U1104" i="3"/>
  <c r="K1104" i="3"/>
  <c r="E1104" i="3"/>
  <c r="B1104" i="3"/>
  <c r="U1103" i="3"/>
  <c r="K1103" i="3"/>
  <c r="E1103" i="3"/>
  <c r="B1103" i="3"/>
  <c r="U1102" i="3"/>
  <c r="K1102" i="3"/>
  <c r="E1102" i="3"/>
  <c r="B1102" i="3"/>
  <c r="U1101" i="3"/>
  <c r="K1101" i="3"/>
  <c r="E1101" i="3"/>
  <c r="B1101" i="3"/>
  <c r="U1100" i="3"/>
  <c r="K1100" i="3"/>
  <c r="E1100" i="3"/>
  <c r="B1100" i="3"/>
  <c r="U1099" i="3"/>
  <c r="K1099" i="3"/>
  <c r="E1099" i="3"/>
  <c r="B1099" i="3"/>
  <c r="U1098" i="3"/>
  <c r="K1098" i="3"/>
  <c r="E1098" i="3"/>
  <c r="B1098" i="3"/>
  <c r="U1097" i="3"/>
  <c r="K1097" i="3"/>
  <c r="E1097" i="3"/>
  <c r="B1097" i="3"/>
  <c r="U1096" i="3"/>
  <c r="K1096" i="3"/>
  <c r="E1096" i="3"/>
  <c r="B1096" i="3"/>
  <c r="U1095" i="3"/>
  <c r="K1095" i="3"/>
  <c r="E1095" i="3"/>
  <c r="B1095" i="3"/>
  <c r="U1094" i="3"/>
  <c r="K1094" i="3"/>
  <c r="E1094" i="3"/>
  <c r="B1094" i="3"/>
  <c r="U1093" i="3"/>
  <c r="K1093" i="3"/>
  <c r="E1093" i="3"/>
  <c r="B1093" i="3"/>
  <c r="U1092" i="3"/>
  <c r="K1092" i="3"/>
  <c r="E1092" i="3"/>
  <c r="B1092" i="3"/>
  <c r="U1091" i="3"/>
  <c r="K1091" i="3"/>
  <c r="E1091" i="3"/>
  <c r="B1091" i="3"/>
  <c r="U1090" i="3"/>
  <c r="K1090" i="3"/>
  <c r="E1090" i="3"/>
  <c r="B1090" i="3"/>
  <c r="U1089" i="3"/>
  <c r="K1089" i="3"/>
  <c r="E1089" i="3"/>
  <c r="B1089" i="3"/>
  <c r="U1088" i="3"/>
  <c r="K1088" i="3"/>
  <c r="E1088" i="3"/>
  <c r="B1088" i="3"/>
  <c r="U1087" i="3"/>
  <c r="K1087" i="3"/>
  <c r="E1087" i="3"/>
  <c r="B1087" i="3"/>
  <c r="U1086" i="3"/>
  <c r="K1086" i="3"/>
  <c r="E1086" i="3"/>
  <c r="B1086" i="3"/>
  <c r="U1085" i="3"/>
  <c r="K1085" i="3"/>
  <c r="E1085" i="3"/>
  <c r="B1085" i="3"/>
  <c r="U1084" i="3"/>
  <c r="K1084" i="3"/>
  <c r="E1084" i="3"/>
  <c r="B1084" i="3"/>
  <c r="U1083" i="3"/>
  <c r="K1083" i="3"/>
  <c r="E1083" i="3"/>
  <c r="B1083" i="3"/>
  <c r="K1082" i="3"/>
  <c r="E1082" i="3"/>
  <c r="B1082" i="3"/>
  <c r="U1081" i="3"/>
  <c r="K1081" i="3"/>
  <c r="E1081" i="3"/>
  <c r="B1081" i="3"/>
  <c r="U1080" i="3"/>
  <c r="K1080" i="3"/>
  <c r="E1080" i="3"/>
  <c r="B1080" i="3"/>
  <c r="U1079" i="3"/>
  <c r="K1079" i="3"/>
  <c r="E1079" i="3"/>
  <c r="B1079" i="3"/>
  <c r="U1078" i="3"/>
  <c r="K1078" i="3"/>
  <c r="E1078" i="3"/>
  <c r="B1078" i="3"/>
  <c r="U1077" i="3"/>
  <c r="K1077" i="3"/>
  <c r="E1077" i="3"/>
  <c r="B1077" i="3"/>
  <c r="U1076" i="3"/>
  <c r="K1076" i="3"/>
  <c r="E1076" i="3"/>
  <c r="B1076" i="3"/>
  <c r="U1075" i="3"/>
  <c r="K1075" i="3"/>
  <c r="E1075" i="3"/>
  <c r="B1075" i="3"/>
  <c r="U1074" i="3"/>
  <c r="K1074" i="3"/>
  <c r="E1074" i="3"/>
  <c r="B1074" i="3"/>
  <c r="U1073" i="3"/>
  <c r="K1073" i="3"/>
  <c r="E1073" i="3"/>
  <c r="B1073" i="3"/>
  <c r="U1072" i="3"/>
  <c r="K1072" i="3"/>
  <c r="E1072" i="3"/>
  <c r="B1072" i="3"/>
  <c r="U1071" i="3"/>
  <c r="K1071" i="3"/>
  <c r="E1071" i="3"/>
  <c r="B1071" i="3"/>
  <c r="U1070" i="3"/>
  <c r="K1070" i="3"/>
  <c r="E1070" i="3"/>
  <c r="B1070" i="3"/>
  <c r="U1069" i="3"/>
  <c r="K1069" i="3"/>
  <c r="E1069" i="3"/>
  <c r="B1069" i="3"/>
  <c r="U1068" i="3"/>
  <c r="K1068" i="3"/>
  <c r="E1068" i="3"/>
  <c r="B1068" i="3"/>
  <c r="K1067" i="3"/>
  <c r="E1067" i="3"/>
  <c r="B1067" i="3"/>
  <c r="U1066" i="3"/>
  <c r="K1066" i="3"/>
  <c r="E1066" i="3"/>
  <c r="B1066" i="3"/>
  <c r="U1065" i="3"/>
  <c r="K1065" i="3"/>
  <c r="E1065" i="3"/>
  <c r="B1065" i="3"/>
  <c r="U1064" i="3"/>
  <c r="K1064" i="3"/>
  <c r="E1064" i="3"/>
  <c r="B1064" i="3"/>
  <c r="U1063" i="3"/>
  <c r="K1063" i="3"/>
  <c r="E1063" i="3"/>
  <c r="B1063" i="3"/>
  <c r="U1062" i="3"/>
  <c r="K1062" i="3"/>
  <c r="E1062" i="3"/>
  <c r="B1062" i="3"/>
  <c r="U1061" i="3"/>
  <c r="K1061" i="3"/>
  <c r="E1061" i="3"/>
  <c r="B1061" i="3"/>
  <c r="U1060" i="3"/>
  <c r="K1060" i="3"/>
  <c r="E1060" i="3"/>
  <c r="B1060" i="3"/>
  <c r="U1059" i="3"/>
  <c r="K1059" i="3"/>
  <c r="E1059" i="3"/>
  <c r="B1059" i="3"/>
  <c r="U1058" i="3"/>
  <c r="K1058" i="3"/>
  <c r="E1058" i="3"/>
  <c r="B1058" i="3"/>
  <c r="U1057" i="3"/>
  <c r="K1057" i="3"/>
  <c r="E1057" i="3"/>
  <c r="B1057" i="3"/>
  <c r="U1056" i="3"/>
  <c r="K1056" i="3"/>
  <c r="E1056" i="3"/>
  <c r="B1056" i="3"/>
  <c r="U1055" i="3"/>
  <c r="K1055" i="3"/>
  <c r="E1055" i="3"/>
  <c r="B1055" i="3"/>
  <c r="U1054" i="3"/>
  <c r="K1054" i="3"/>
  <c r="E1054" i="3"/>
  <c r="B1054" i="3"/>
  <c r="U1053" i="3"/>
  <c r="K1053" i="3"/>
  <c r="E1053" i="3"/>
  <c r="B1053" i="3"/>
  <c r="U1052" i="3"/>
  <c r="K1052" i="3"/>
  <c r="E1052" i="3"/>
  <c r="B1052" i="3"/>
  <c r="U1051" i="3"/>
  <c r="K1051" i="3"/>
  <c r="E1051" i="3"/>
  <c r="B1051" i="3"/>
  <c r="U1050" i="3"/>
  <c r="K1050" i="3"/>
  <c r="E1050" i="3"/>
  <c r="B1050" i="3"/>
  <c r="U1049" i="3"/>
  <c r="K1049" i="3"/>
  <c r="E1049" i="3"/>
  <c r="B1049" i="3"/>
  <c r="U1048" i="3"/>
  <c r="K1048" i="3"/>
  <c r="E1048" i="3"/>
  <c r="B1048" i="3"/>
  <c r="U1047" i="3"/>
  <c r="K1047" i="3"/>
  <c r="E1047" i="3"/>
  <c r="B1047" i="3"/>
  <c r="U1046" i="3"/>
  <c r="K1046" i="3"/>
  <c r="E1046" i="3"/>
  <c r="B1046" i="3"/>
  <c r="U1045" i="3"/>
  <c r="K1045" i="3"/>
  <c r="E1045" i="3"/>
  <c r="B1045" i="3"/>
  <c r="U1044" i="3"/>
  <c r="K1044" i="3"/>
  <c r="E1044" i="3"/>
  <c r="B1044" i="3"/>
  <c r="U1043" i="3"/>
  <c r="K1043" i="3"/>
  <c r="E1043" i="3"/>
  <c r="B1043" i="3"/>
  <c r="U1042" i="3"/>
  <c r="K1042" i="3"/>
  <c r="E1042" i="3"/>
  <c r="B1042" i="3"/>
  <c r="U1041" i="3"/>
  <c r="K1041" i="3"/>
  <c r="E1041" i="3"/>
  <c r="B1041" i="3"/>
  <c r="U1040" i="3"/>
  <c r="K1040" i="3"/>
  <c r="E1040" i="3"/>
  <c r="B1040" i="3"/>
  <c r="U1039" i="3"/>
  <c r="K1039" i="3"/>
  <c r="E1039" i="3"/>
  <c r="B1039" i="3"/>
  <c r="U1038" i="3"/>
  <c r="K1038" i="3"/>
  <c r="E1038" i="3"/>
  <c r="B1038" i="3"/>
  <c r="U1037" i="3"/>
  <c r="K1037" i="3"/>
  <c r="E1037" i="3"/>
  <c r="B1037" i="3"/>
  <c r="U1036" i="3"/>
  <c r="K1036" i="3"/>
  <c r="E1036" i="3"/>
  <c r="B1036" i="3"/>
  <c r="U1035" i="3"/>
  <c r="K1035" i="3"/>
  <c r="E1035" i="3"/>
  <c r="B1035" i="3"/>
  <c r="U1034" i="3"/>
  <c r="K1034" i="3"/>
  <c r="E1034" i="3"/>
  <c r="B1034" i="3"/>
  <c r="U1033" i="3"/>
  <c r="K1033" i="3"/>
  <c r="E1033" i="3"/>
  <c r="B1033" i="3"/>
  <c r="U1032" i="3"/>
  <c r="K1032" i="3"/>
  <c r="E1032" i="3"/>
  <c r="B1032" i="3"/>
  <c r="U1031" i="3"/>
  <c r="K1031" i="3"/>
  <c r="E1031" i="3"/>
  <c r="B1031" i="3"/>
  <c r="U1030" i="3"/>
  <c r="K1030" i="3"/>
  <c r="E1030" i="3"/>
  <c r="B1030" i="3"/>
  <c r="U1029" i="3"/>
  <c r="K1029" i="3"/>
  <c r="E1029" i="3"/>
  <c r="B1029" i="3"/>
  <c r="U1028" i="3"/>
  <c r="K1028" i="3"/>
  <c r="E1028" i="3"/>
  <c r="B1028" i="3"/>
  <c r="U1027" i="3"/>
  <c r="K1027" i="3"/>
  <c r="E1027" i="3"/>
  <c r="B1027" i="3"/>
  <c r="U1026" i="3"/>
  <c r="K1026" i="3"/>
  <c r="E1026" i="3"/>
  <c r="B1026" i="3"/>
  <c r="U1025" i="3"/>
  <c r="K1025" i="3"/>
  <c r="E1025" i="3"/>
  <c r="B1025" i="3"/>
  <c r="U1024" i="3"/>
  <c r="K1024" i="3"/>
  <c r="E1024" i="3"/>
  <c r="B1024" i="3"/>
  <c r="U1023" i="3"/>
  <c r="K1023" i="3"/>
  <c r="E1023" i="3"/>
  <c r="B1023" i="3"/>
  <c r="U1022" i="3"/>
  <c r="K1022" i="3"/>
  <c r="E1022" i="3"/>
  <c r="B1022" i="3"/>
  <c r="U1021" i="3"/>
  <c r="K1021" i="3"/>
  <c r="E1021" i="3"/>
  <c r="B1021" i="3"/>
  <c r="U1020" i="3"/>
  <c r="K1020" i="3"/>
  <c r="E1020" i="3"/>
  <c r="B1020" i="3"/>
  <c r="U1019" i="3"/>
  <c r="K1019" i="3"/>
  <c r="E1019" i="3"/>
  <c r="B1019" i="3"/>
  <c r="U1018" i="3"/>
  <c r="K1018" i="3"/>
  <c r="E1018" i="3"/>
  <c r="B1018" i="3"/>
  <c r="U1017" i="3"/>
  <c r="K1017" i="3"/>
  <c r="E1017" i="3"/>
  <c r="B1017" i="3"/>
  <c r="U1016" i="3"/>
  <c r="K1016" i="3"/>
  <c r="E1016" i="3"/>
  <c r="B1016" i="3"/>
  <c r="U1015" i="3"/>
  <c r="K1015" i="3"/>
  <c r="E1015" i="3"/>
  <c r="B1015" i="3"/>
  <c r="U1014" i="3"/>
  <c r="K1014" i="3"/>
  <c r="E1014" i="3"/>
  <c r="B1014" i="3"/>
  <c r="U1013" i="3"/>
  <c r="K1013" i="3"/>
  <c r="E1013" i="3"/>
  <c r="B1013" i="3"/>
  <c r="U1012" i="3"/>
  <c r="K1012" i="3"/>
  <c r="H1012" i="3"/>
  <c r="E1012" i="3"/>
  <c r="B1012" i="3"/>
  <c r="U1011" i="3"/>
  <c r="K1011" i="3"/>
  <c r="E1011" i="3"/>
  <c r="B1011" i="3"/>
  <c r="U1010" i="3"/>
  <c r="K1010" i="3"/>
  <c r="E1010" i="3"/>
  <c r="B1010" i="3"/>
  <c r="U1009" i="3"/>
  <c r="K1009" i="3"/>
  <c r="E1009" i="3"/>
  <c r="B1009" i="3"/>
  <c r="U1008" i="3"/>
  <c r="K1008" i="3"/>
  <c r="E1008" i="3"/>
  <c r="B1008" i="3"/>
  <c r="U1007" i="3"/>
  <c r="K1007" i="3"/>
  <c r="E1007" i="3"/>
  <c r="B1007" i="3"/>
  <c r="U1006" i="3"/>
  <c r="K1006" i="3"/>
  <c r="E1006" i="3"/>
  <c r="B1006" i="3"/>
  <c r="U1005" i="3"/>
  <c r="K1005" i="3"/>
  <c r="E1005" i="3"/>
  <c r="B1005" i="3"/>
  <c r="U1004" i="3"/>
  <c r="K1004" i="3"/>
  <c r="E1004" i="3"/>
  <c r="B1004" i="3"/>
  <c r="U1003" i="3"/>
  <c r="K1003" i="3"/>
  <c r="E1003" i="3"/>
  <c r="B1003" i="3"/>
  <c r="U1002" i="3"/>
  <c r="K1002" i="3"/>
  <c r="E1002" i="3"/>
  <c r="B1002" i="3"/>
  <c r="U1001" i="3"/>
  <c r="K1001" i="3"/>
  <c r="E1001" i="3"/>
  <c r="B1001" i="3"/>
  <c r="U1000" i="3"/>
  <c r="K1000" i="3"/>
  <c r="E1000" i="3"/>
  <c r="B1000" i="3"/>
  <c r="U999" i="3"/>
  <c r="K999" i="3"/>
  <c r="E999" i="3"/>
  <c r="B999" i="3"/>
  <c r="U998" i="3"/>
  <c r="K998" i="3"/>
  <c r="E998" i="3"/>
  <c r="B998" i="3"/>
  <c r="U997" i="3"/>
  <c r="K997" i="3"/>
  <c r="E997" i="3"/>
  <c r="B997" i="3"/>
  <c r="U996" i="3"/>
  <c r="K996" i="3"/>
  <c r="E996" i="3"/>
  <c r="B996" i="3"/>
  <c r="U995" i="3"/>
  <c r="K995" i="3"/>
  <c r="E995" i="3"/>
  <c r="B995" i="3"/>
  <c r="U994" i="3"/>
  <c r="K994" i="3"/>
  <c r="E994" i="3"/>
  <c r="B994" i="3"/>
  <c r="U993" i="3"/>
  <c r="K993" i="3"/>
  <c r="E993" i="3"/>
  <c r="B993" i="3"/>
  <c r="U992" i="3"/>
  <c r="K992" i="3"/>
  <c r="E992" i="3"/>
  <c r="B992" i="3"/>
  <c r="U991" i="3"/>
  <c r="K991" i="3"/>
  <c r="E991" i="3"/>
  <c r="B991" i="3"/>
  <c r="U990" i="3"/>
  <c r="K990" i="3"/>
  <c r="E990" i="3"/>
  <c r="B990" i="3"/>
  <c r="U989" i="3"/>
  <c r="K989" i="3"/>
  <c r="E989" i="3"/>
  <c r="B989" i="3"/>
  <c r="U988" i="3"/>
  <c r="K988" i="3"/>
  <c r="E988" i="3"/>
  <c r="B988" i="3"/>
  <c r="U987" i="3"/>
  <c r="K987" i="3"/>
  <c r="E987" i="3"/>
  <c r="B987" i="3"/>
  <c r="U986" i="3"/>
  <c r="K986" i="3"/>
  <c r="E986" i="3"/>
  <c r="B986" i="3"/>
  <c r="U985" i="3"/>
  <c r="K985" i="3"/>
  <c r="E985" i="3"/>
  <c r="B985" i="3"/>
  <c r="U984" i="3"/>
  <c r="K984" i="3"/>
  <c r="E984" i="3"/>
  <c r="B984" i="3"/>
  <c r="U983" i="3"/>
  <c r="K983" i="3"/>
  <c r="E983" i="3"/>
  <c r="B983" i="3"/>
  <c r="U982" i="3"/>
  <c r="K982" i="3"/>
  <c r="E982" i="3"/>
  <c r="B982" i="3"/>
  <c r="U981" i="3"/>
  <c r="K981" i="3"/>
  <c r="E981" i="3"/>
  <c r="B981" i="3"/>
  <c r="U980" i="3"/>
  <c r="K980" i="3"/>
  <c r="E980" i="3"/>
  <c r="B980" i="3"/>
  <c r="U979" i="3"/>
  <c r="K979" i="3"/>
  <c r="E979" i="3"/>
  <c r="B979" i="3"/>
  <c r="U978" i="3"/>
  <c r="K978" i="3"/>
  <c r="E978" i="3"/>
  <c r="B978" i="3"/>
  <c r="U977" i="3"/>
  <c r="K977" i="3"/>
  <c r="E977" i="3"/>
  <c r="B977" i="3"/>
  <c r="U976" i="3"/>
  <c r="K976" i="3"/>
  <c r="E976" i="3"/>
  <c r="B976" i="3"/>
  <c r="U975" i="3"/>
  <c r="K975" i="3"/>
  <c r="E975" i="3"/>
  <c r="B975" i="3"/>
  <c r="U974" i="3"/>
  <c r="K974" i="3"/>
  <c r="E974" i="3"/>
  <c r="B974" i="3"/>
  <c r="U973" i="3"/>
  <c r="K973" i="3"/>
  <c r="E973" i="3"/>
  <c r="B973" i="3"/>
  <c r="U972" i="3"/>
  <c r="K972" i="3"/>
  <c r="E972" i="3"/>
  <c r="B972" i="3"/>
  <c r="U971" i="3"/>
  <c r="K971" i="3"/>
  <c r="E971" i="3"/>
  <c r="B971" i="3"/>
  <c r="U970" i="3"/>
  <c r="K970" i="3"/>
  <c r="E970" i="3"/>
  <c r="B970" i="3"/>
  <c r="U969" i="3"/>
  <c r="K969" i="3"/>
  <c r="E969" i="3"/>
  <c r="B969" i="3"/>
  <c r="U968" i="3"/>
  <c r="K968" i="3"/>
  <c r="E968" i="3"/>
  <c r="B968" i="3"/>
  <c r="U967" i="3"/>
  <c r="K967" i="3"/>
  <c r="E967" i="3"/>
  <c r="B967" i="3"/>
  <c r="U966" i="3"/>
  <c r="K966" i="3"/>
  <c r="E966" i="3"/>
  <c r="B966" i="3"/>
  <c r="U965" i="3"/>
  <c r="K965" i="3"/>
  <c r="E965" i="3"/>
  <c r="B965" i="3"/>
  <c r="U964" i="3"/>
  <c r="K964" i="3"/>
  <c r="E964" i="3"/>
  <c r="B964" i="3"/>
  <c r="U963" i="3"/>
  <c r="K963" i="3"/>
  <c r="E963" i="3"/>
  <c r="B963" i="3"/>
  <c r="U962" i="3"/>
  <c r="K962" i="3"/>
  <c r="E962" i="3"/>
  <c r="B962" i="3"/>
  <c r="U961" i="3"/>
  <c r="K961" i="3"/>
  <c r="E961" i="3"/>
  <c r="B961" i="3"/>
  <c r="U960" i="3"/>
  <c r="K960" i="3"/>
  <c r="E960" i="3"/>
  <c r="B960" i="3"/>
  <c r="U959" i="3"/>
  <c r="K959" i="3"/>
  <c r="E959" i="3"/>
  <c r="B959" i="3"/>
  <c r="U958" i="3"/>
  <c r="K958" i="3"/>
  <c r="E958" i="3"/>
  <c r="B958" i="3"/>
  <c r="U957" i="3"/>
  <c r="K957" i="3"/>
  <c r="E957" i="3"/>
  <c r="B957" i="3"/>
  <c r="U956" i="3"/>
  <c r="K956" i="3"/>
  <c r="E956" i="3"/>
  <c r="B956" i="3"/>
  <c r="U955" i="3"/>
  <c r="K955" i="3"/>
  <c r="E955" i="3"/>
  <c r="B955" i="3"/>
  <c r="U954" i="3"/>
  <c r="K954" i="3"/>
  <c r="E954" i="3"/>
  <c r="B954" i="3"/>
  <c r="U953" i="3"/>
  <c r="K953" i="3"/>
  <c r="E953" i="3"/>
  <c r="B953" i="3"/>
  <c r="U952" i="3"/>
  <c r="K952" i="3"/>
  <c r="E952" i="3"/>
  <c r="B952" i="3"/>
  <c r="U951" i="3"/>
  <c r="K951" i="3"/>
  <c r="E951" i="3"/>
  <c r="B951" i="3"/>
  <c r="U950" i="3"/>
  <c r="K950" i="3"/>
  <c r="E950" i="3"/>
  <c r="B950" i="3"/>
  <c r="U949" i="3"/>
  <c r="K949" i="3"/>
  <c r="E949" i="3"/>
  <c r="B949" i="3"/>
  <c r="U948" i="3"/>
  <c r="K948" i="3"/>
  <c r="E948" i="3"/>
  <c r="B948" i="3"/>
  <c r="U947" i="3"/>
  <c r="K947" i="3"/>
  <c r="E947" i="3"/>
  <c r="B947" i="3"/>
  <c r="U946" i="3"/>
  <c r="K946" i="3"/>
  <c r="E946" i="3"/>
  <c r="B946" i="3"/>
  <c r="U945" i="3"/>
  <c r="K945" i="3"/>
  <c r="E945" i="3"/>
  <c r="B945" i="3"/>
  <c r="U944" i="3"/>
  <c r="K944" i="3"/>
  <c r="E944" i="3"/>
  <c r="B944" i="3"/>
  <c r="U943" i="3"/>
  <c r="K943" i="3"/>
  <c r="E943" i="3"/>
  <c r="B943" i="3"/>
  <c r="U942" i="3"/>
  <c r="K942" i="3"/>
  <c r="E942" i="3"/>
  <c r="B942" i="3"/>
  <c r="U941" i="3"/>
  <c r="K941" i="3"/>
  <c r="E941" i="3"/>
  <c r="B941" i="3"/>
  <c r="U940" i="3"/>
  <c r="K940" i="3"/>
  <c r="E940" i="3"/>
  <c r="B940" i="3"/>
  <c r="U939" i="3"/>
  <c r="K939" i="3"/>
  <c r="E939" i="3"/>
  <c r="B939" i="3"/>
  <c r="U938" i="3"/>
  <c r="K938" i="3"/>
  <c r="E938" i="3"/>
  <c r="B938" i="3"/>
  <c r="U937" i="3"/>
  <c r="K937" i="3"/>
  <c r="E937" i="3"/>
  <c r="B937" i="3"/>
  <c r="U936" i="3"/>
  <c r="K936" i="3"/>
  <c r="E936" i="3"/>
  <c r="B936" i="3"/>
  <c r="U935" i="3"/>
  <c r="K935" i="3"/>
  <c r="E935" i="3"/>
  <c r="B935" i="3"/>
  <c r="U934" i="3"/>
  <c r="K934" i="3"/>
  <c r="E934" i="3"/>
  <c r="B934" i="3"/>
  <c r="U933" i="3"/>
  <c r="K933" i="3"/>
  <c r="E933" i="3"/>
  <c r="B933" i="3"/>
  <c r="U932" i="3"/>
  <c r="K932" i="3"/>
  <c r="E932" i="3"/>
  <c r="B932" i="3"/>
  <c r="U931" i="3"/>
  <c r="K931" i="3"/>
  <c r="E931" i="3"/>
  <c r="B931" i="3"/>
  <c r="U930" i="3"/>
  <c r="K930" i="3"/>
  <c r="E930" i="3"/>
  <c r="B930" i="3"/>
  <c r="U929" i="3"/>
  <c r="K929" i="3"/>
  <c r="E929" i="3"/>
  <c r="B929" i="3"/>
  <c r="U928" i="3"/>
  <c r="K928" i="3"/>
  <c r="E928" i="3"/>
  <c r="B928" i="3"/>
  <c r="U927" i="3"/>
  <c r="K927" i="3"/>
  <c r="E927" i="3"/>
  <c r="B927" i="3"/>
  <c r="U926" i="3"/>
  <c r="K926" i="3"/>
  <c r="E926" i="3"/>
  <c r="B926" i="3"/>
  <c r="U925" i="3"/>
  <c r="K925" i="3"/>
  <c r="E925" i="3"/>
  <c r="B925" i="3"/>
  <c r="U924" i="3"/>
  <c r="K924" i="3"/>
  <c r="E924" i="3"/>
  <c r="B924" i="3"/>
  <c r="U923" i="3"/>
  <c r="K923" i="3"/>
  <c r="E923" i="3"/>
  <c r="B923" i="3"/>
  <c r="U922" i="3"/>
  <c r="K922" i="3"/>
  <c r="E922" i="3"/>
  <c r="B922" i="3"/>
  <c r="U921" i="3"/>
  <c r="K921" i="3"/>
  <c r="E921" i="3"/>
  <c r="B921" i="3"/>
  <c r="U920" i="3"/>
  <c r="K920" i="3"/>
  <c r="E920" i="3"/>
  <c r="B920" i="3"/>
  <c r="U919" i="3"/>
  <c r="K919" i="3"/>
  <c r="E919" i="3"/>
  <c r="B919" i="3"/>
  <c r="U918" i="3"/>
  <c r="K918" i="3"/>
  <c r="E918" i="3"/>
  <c r="B918" i="3"/>
  <c r="U917" i="3"/>
  <c r="K917" i="3"/>
  <c r="E917" i="3"/>
  <c r="B917" i="3"/>
  <c r="U916" i="3"/>
  <c r="K916" i="3"/>
  <c r="E916" i="3"/>
  <c r="B916" i="3"/>
  <c r="U915" i="3"/>
  <c r="K915" i="3"/>
  <c r="E915" i="3"/>
  <c r="B915" i="3"/>
  <c r="U914" i="3"/>
  <c r="K914" i="3"/>
  <c r="E914" i="3"/>
  <c r="B914" i="3"/>
  <c r="U913" i="3"/>
  <c r="K913" i="3"/>
  <c r="E913" i="3"/>
  <c r="B913" i="3"/>
  <c r="U912" i="3"/>
  <c r="K912" i="3"/>
  <c r="E912" i="3"/>
  <c r="B912" i="3"/>
  <c r="U911" i="3"/>
  <c r="K911" i="3"/>
  <c r="E911" i="3"/>
  <c r="B911" i="3"/>
  <c r="U910" i="3"/>
  <c r="K910" i="3"/>
  <c r="E910" i="3"/>
  <c r="B910" i="3"/>
  <c r="U909" i="3"/>
  <c r="K909" i="3"/>
  <c r="E909" i="3"/>
  <c r="B909" i="3"/>
  <c r="U908" i="3"/>
  <c r="K908" i="3"/>
  <c r="E908" i="3"/>
  <c r="B908" i="3"/>
  <c r="U907" i="3"/>
  <c r="K907" i="3"/>
  <c r="E907" i="3"/>
  <c r="B907" i="3"/>
  <c r="U906" i="3"/>
  <c r="K906" i="3"/>
  <c r="E906" i="3"/>
  <c r="B906" i="3"/>
  <c r="U905" i="3"/>
  <c r="K905" i="3"/>
  <c r="E905" i="3"/>
  <c r="B905" i="3"/>
  <c r="U904" i="3"/>
  <c r="K904" i="3"/>
  <c r="E904" i="3"/>
  <c r="B904" i="3"/>
  <c r="U903" i="3"/>
  <c r="K903" i="3"/>
  <c r="E903" i="3"/>
  <c r="B903" i="3"/>
  <c r="U902" i="3"/>
  <c r="K902" i="3"/>
  <c r="E902" i="3"/>
  <c r="B902" i="3"/>
  <c r="U901" i="3"/>
  <c r="K901" i="3"/>
  <c r="E901" i="3"/>
  <c r="B901" i="3"/>
  <c r="U900" i="3"/>
  <c r="K900" i="3"/>
  <c r="E900" i="3"/>
  <c r="B900" i="3"/>
  <c r="K899" i="3"/>
  <c r="E899" i="3"/>
  <c r="B899" i="3"/>
  <c r="U898" i="3"/>
  <c r="K898" i="3"/>
  <c r="E898" i="3"/>
  <c r="B898" i="3"/>
  <c r="U897" i="3"/>
  <c r="K897" i="3"/>
  <c r="E897" i="3"/>
  <c r="B897" i="3"/>
  <c r="U896" i="3"/>
  <c r="K896" i="3"/>
  <c r="E896" i="3"/>
  <c r="B896" i="3"/>
  <c r="U895" i="3"/>
  <c r="K895" i="3"/>
  <c r="E895" i="3"/>
  <c r="B895" i="3"/>
  <c r="U894" i="3"/>
  <c r="K894" i="3"/>
  <c r="E894" i="3"/>
  <c r="B894" i="3"/>
  <c r="U893" i="3"/>
  <c r="K893" i="3"/>
  <c r="E893" i="3"/>
  <c r="B893" i="3"/>
  <c r="U892" i="3"/>
  <c r="K892" i="3"/>
  <c r="E892" i="3"/>
  <c r="B892" i="3"/>
  <c r="U891" i="3"/>
  <c r="K891" i="3"/>
  <c r="E891" i="3"/>
  <c r="B891" i="3"/>
  <c r="U890" i="3"/>
  <c r="K890" i="3"/>
  <c r="E890" i="3"/>
  <c r="B890" i="3"/>
  <c r="U889" i="3"/>
  <c r="K889" i="3"/>
  <c r="E889" i="3"/>
  <c r="B889" i="3"/>
  <c r="U888" i="3"/>
  <c r="K888" i="3"/>
  <c r="E888" i="3"/>
  <c r="B888" i="3"/>
  <c r="U887" i="3"/>
  <c r="K887" i="3"/>
  <c r="E887" i="3"/>
  <c r="B887" i="3"/>
  <c r="U886" i="3"/>
  <c r="K886" i="3"/>
  <c r="E886" i="3"/>
  <c r="B886" i="3"/>
  <c r="U885" i="3"/>
  <c r="K885" i="3"/>
  <c r="E885" i="3"/>
  <c r="B885" i="3"/>
  <c r="U884" i="3"/>
  <c r="K884" i="3"/>
  <c r="E884" i="3"/>
  <c r="B884" i="3"/>
  <c r="U883" i="3"/>
  <c r="K883" i="3"/>
  <c r="E883" i="3"/>
  <c r="B883" i="3"/>
  <c r="U882" i="3"/>
  <c r="K882" i="3"/>
  <c r="E882" i="3"/>
  <c r="B882" i="3"/>
  <c r="U881" i="3"/>
  <c r="K881" i="3"/>
  <c r="E881" i="3"/>
  <c r="B881" i="3"/>
  <c r="U880" i="3"/>
  <c r="K880" i="3"/>
  <c r="E880" i="3"/>
  <c r="B880" i="3"/>
  <c r="U879" i="3"/>
  <c r="K879" i="3"/>
  <c r="E879" i="3"/>
  <c r="B879" i="3"/>
  <c r="U878" i="3"/>
  <c r="K878" i="3"/>
  <c r="E878" i="3"/>
  <c r="B878" i="3"/>
  <c r="U877" i="3"/>
  <c r="K877" i="3"/>
  <c r="E877" i="3"/>
  <c r="B877" i="3"/>
  <c r="U876" i="3"/>
  <c r="K876" i="3"/>
  <c r="E876" i="3"/>
  <c r="B876" i="3"/>
  <c r="U875" i="3"/>
  <c r="K875" i="3"/>
  <c r="E875" i="3"/>
  <c r="B875" i="3"/>
  <c r="U874" i="3"/>
  <c r="K874" i="3"/>
  <c r="E874" i="3"/>
  <c r="B874" i="3"/>
  <c r="U873" i="3"/>
  <c r="K873" i="3"/>
  <c r="E873" i="3"/>
  <c r="B873" i="3"/>
  <c r="U872" i="3"/>
  <c r="K872" i="3"/>
  <c r="E872" i="3"/>
  <c r="B872" i="3"/>
  <c r="U871" i="3"/>
  <c r="K871" i="3"/>
  <c r="E871" i="3"/>
  <c r="B871" i="3"/>
  <c r="U870" i="3"/>
  <c r="K870" i="3"/>
  <c r="E870" i="3"/>
  <c r="B870" i="3"/>
  <c r="U869" i="3"/>
  <c r="K869" i="3"/>
  <c r="E869" i="3"/>
  <c r="B869" i="3"/>
  <c r="U868" i="3"/>
  <c r="K868" i="3"/>
  <c r="E868" i="3"/>
  <c r="B868" i="3"/>
  <c r="U867" i="3"/>
  <c r="K867" i="3"/>
  <c r="E867" i="3"/>
  <c r="B867" i="3"/>
  <c r="U866" i="3"/>
  <c r="K866" i="3"/>
  <c r="E866" i="3"/>
  <c r="B866" i="3"/>
  <c r="U865" i="3"/>
  <c r="K865" i="3"/>
  <c r="E865" i="3"/>
  <c r="B865" i="3"/>
  <c r="U864" i="3"/>
  <c r="K864" i="3"/>
  <c r="E864" i="3"/>
  <c r="B864" i="3"/>
  <c r="U863" i="3"/>
  <c r="K863" i="3"/>
  <c r="E863" i="3"/>
  <c r="B863" i="3"/>
  <c r="U862" i="3"/>
  <c r="K862" i="3"/>
  <c r="E862" i="3"/>
  <c r="B862" i="3"/>
  <c r="U861" i="3"/>
  <c r="K861" i="3"/>
  <c r="E861" i="3"/>
  <c r="B861" i="3"/>
  <c r="U860" i="3"/>
  <c r="K860" i="3"/>
  <c r="E860" i="3"/>
  <c r="B860" i="3"/>
  <c r="U859" i="3"/>
  <c r="K859" i="3"/>
  <c r="E859" i="3"/>
  <c r="B859" i="3"/>
  <c r="U858" i="3"/>
  <c r="K858" i="3"/>
  <c r="E858" i="3"/>
  <c r="B858" i="3"/>
  <c r="K857" i="3"/>
  <c r="E857" i="3"/>
  <c r="B857" i="3"/>
  <c r="U856" i="3"/>
  <c r="K856" i="3"/>
  <c r="E856" i="3"/>
  <c r="B856" i="3"/>
  <c r="U855" i="3"/>
  <c r="K855" i="3"/>
  <c r="E855" i="3"/>
  <c r="B855" i="3"/>
  <c r="U854" i="3"/>
  <c r="K854" i="3"/>
  <c r="E854" i="3"/>
  <c r="B854" i="3"/>
  <c r="U853" i="3"/>
  <c r="K853" i="3"/>
  <c r="E853" i="3"/>
  <c r="B853" i="3"/>
  <c r="U852" i="3"/>
  <c r="K852" i="3"/>
  <c r="E852" i="3"/>
  <c r="B852" i="3"/>
  <c r="U851" i="3"/>
  <c r="K851" i="3"/>
  <c r="E851" i="3"/>
  <c r="B851" i="3"/>
  <c r="U850" i="3"/>
  <c r="K850" i="3"/>
  <c r="E850" i="3"/>
  <c r="B850" i="3"/>
  <c r="U849" i="3"/>
  <c r="K849" i="3"/>
  <c r="E849" i="3"/>
  <c r="B849" i="3"/>
  <c r="U848" i="3"/>
  <c r="K848" i="3"/>
  <c r="E848" i="3"/>
  <c r="B848" i="3"/>
  <c r="U847" i="3"/>
  <c r="K847" i="3"/>
  <c r="E847" i="3"/>
  <c r="B847" i="3"/>
  <c r="U846" i="3"/>
  <c r="K846" i="3"/>
  <c r="E846" i="3"/>
  <c r="B846" i="3"/>
  <c r="U845" i="3"/>
  <c r="K845" i="3"/>
  <c r="E845" i="3"/>
  <c r="B845" i="3"/>
  <c r="U844" i="3"/>
  <c r="K844" i="3"/>
  <c r="E844" i="3"/>
  <c r="B844" i="3"/>
  <c r="U843" i="3"/>
  <c r="K843" i="3"/>
  <c r="E843" i="3"/>
  <c r="B843" i="3"/>
  <c r="U842" i="3"/>
  <c r="K842" i="3"/>
  <c r="E842" i="3"/>
  <c r="B842" i="3"/>
  <c r="U841" i="3"/>
  <c r="K841" i="3"/>
  <c r="E841" i="3"/>
  <c r="B841" i="3"/>
  <c r="U840" i="3"/>
  <c r="K840" i="3"/>
  <c r="E840" i="3"/>
  <c r="B840" i="3"/>
  <c r="U839" i="3"/>
  <c r="K839" i="3"/>
  <c r="E839" i="3"/>
  <c r="B839" i="3"/>
  <c r="U838" i="3"/>
  <c r="K838" i="3"/>
  <c r="E838" i="3"/>
  <c r="B838" i="3"/>
  <c r="U837" i="3"/>
  <c r="K837" i="3"/>
  <c r="E837" i="3"/>
  <c r="B837" i="3"/>
  <c r="U836" i="3"/>
  <c r="K836" i="3"/>
  <c r="E836" i="3"/>
  <c r="B836" i="3"/>
  <c r="U835" i="3"/>
  <c r="K835" i="3"/>
  <c r="E835" i="3"/>
  <c r="B835" i="3"/>
  <c r="U834" i="3"/>
  <c r="K834" i="3"/>
  <c r="E834" i="3"/>
  <c r="B834" i="3"/>
  <c r="U833" i="3"/>
  <c r="K833" i="3"/>
  <c r="E833" i="3"/>
  <c r="B833" i="3"/>
  <c r="U832" i="3"/>
  <c r="K832" i="3"/>
  <c r="E832" i="3"/>
  <c r="B832" i="3"/>
  <c r="U831" i="3"/>
  <c r="K831" i="3"/>
  <c r="E831" i="3"/>
  <c r="B831" i="3"/>
  <c r="U830" i="3"/>
  <c r="K830" i="3"/>
  <c r="E830" i="3"/>
  <c r="B830" i="3"/>
  <c r="U829" i="3"/>
  <c r="K829" i="3"/>
  <c r="E829" i="3"/>
  <c r="B829" i="3"/>
  <c r="U828" i="3"/>
  <c r="K828" i="3"/>
  <c r="E828" i="3"/>
  <c r="B828" i="3"/>
  <c r="U827" i="3"/>
  <c r="K827" i="3"/>
  <c r="E827" i="3"/>
  <c r="B827" i="3"/>
  <c r="U826" i="3"/>
  <c r="K826" i="3"/>
  <c r="E826" i="3"/>
  <c r="B826" i="3"/>
  <c r="U825" i="3"/>
  <c r="K825" i="3"/>
  <c r="E825" i="3"/>
  <c r="B825" i="3"/>
  <c r="U824" i="3"/>
  <c r="K824" i="3"/>
  <c r="E824" i="3"/>
  <c r="B824" i="3"/>
  <c r="U823" i="3"/>
  <c r="K823" i="3"/>
  <c r="E823" i="3"/>
  <c r="B823" i="3"/>
  <c r="U822" i="3"/>
  <c r="K822" i="3"/>
  <c r="E822" i="3"/>
  <c r="B822" i="3"/>
  <c r="U821" i="3"/>
  <c r="K821" i="3"/>
  <c r="E821" i="3"/>
  <c r="B821" i="3"/>
  <c r="K820" i="3"/>
  <c r="E820" i="3"/>
  <c r="B820" i="3"/>
  <c r="U819" i="3"/>
  <c r="K819" i="3"/>
  <c r="E819" i="3"/>
  <c r="B819" i="3"/>
  <c r="U818" i="3"/>
  <c r="K818" i="3"/>
  <c r="E818" i="3"/>
  <c r="B818" i="3"/>
  <c r="U817" i="3"/>
  <c r="K817" i="3"/>
  <c r="E817" i="3"/>
  <c r="B817" i="3"/>
  <c r="U816" i="3"/>
  <c r="K816" i="3"/>
  <c r="E816" i="3"/>
  <c r="B816" i="3"/>
  <c r="U815" i="3"/>
  <c r="K815" i="3"/>
  <c r="E815" i="3"/>
  <c r="B815" i="3"/>
  <c r="U814" i="3"/>
  <c r="K814" i="3"/>
  <c r="E814" i="3"/>
  <c r="B814" i="3"/>
  <c r="U813" i="3"/>
  <c r="K813" i="3"/>
  <c r="E813" i="3"/>
  <c r="B813" i="3"/>
  <c r="U812" i="3"/>
  <c r="K812" i="3"/>
  <c r="E812" i="3"/>
  <c r="B812" i="3"/>
  <c r="U811" i="3"/>
  <c r="K811" i="3"/>
  <c r="E811" i="3"/>
  <c r="B811" i="3"/>
  <c r="U810" i="3"/>
  <c r="K810" i="3"/>
  <c r="E810" i="3"/>
  <c r="B810" i="3"/>
  <c r="U809" i="3"/>
  <c r="K809" i="3"/>
  <c r="E809" i="3"/>
  <c r="B809" i="3"/>
  <c r="U808" i="3"/>
  <c r="K808" i="3"/>
  <c r="E808" i="3"/>
  <c r="B808" i="3"/>
  <c r="U807" i="3"/>
  <c r="K807" i="3"/>
  <c r="E807" i="3"/>
  <c r="B807" i="3"/>
  <c r="U806" i="3"/>
  <c r="K806" i="3"/>
  <c r="E806" i="3"/>
  <c r="B806" i="3"/>
  <c r="U805" i="3"/>
  <c r="K805" i="3"/>
  <c r="E805" i="3"/>
  <c r="B805" i="3"/>
  <c r="U804" i="3"/>
  <c r="K804" i="3"/>
  <c r="E804" i="3"/>
  <c r="B804" i="3"/>
  <c r="U803" i="3"/>
  <c r="K803" i="3"/>
  <c r="E803" i="3"/>
  <c r="B803" i="3"/>
  <c r="U802" i="3"/>
  <c r="K802" i="3"/>
  <c r="E802" i="3"/>
  <c r="B802" i="3"/>
  <c r="U801" i="3"/>
  <c r="K801" i="3"/>
  <c r="E801" i="3"/>
  <c r="B801" i="3"/>
  <c r="U800" i="3"/>
  <c r="K800" i="3"/>
  <c r="E800" i="3"/>
  <c r="B800" i="3"/>
  <c r="U799" i="3"/>
  <c r="K799" i="3"/>
  <c r="E799" i="3"/>
  <c r="B799" i="3"/>
  <c r="U798" i="3"/>
  <c r="K798" i="3"/>
  <c r="E798" i="3"/>
  <c r="B798" i="3"/>
  <c r="U797" i="3"/>
  <c r="K797" i="3"/>
  <c r="E797" i="3"/>
  <c r="B797" i="3"/>
  <c r="U796" i="3"/>
  <c r="K796" i="3"/>
  <c r="E796" i="3"/>
  <c r="B796" i="3"/>
  <c r="U795" i="3"/>
  <c r="K795" i="3"/>
  <c r="E795" i="3"/>
  <c r="B795" i="3"/>
  <c r="U794" i="3"/>
  <c r="K794" i="3"/>
  <c r="E794" i="3"/>
  <c r="B794" i="3"/>
  <c r="U793" i="3"/>
  <c r="K793" i="3"/>
  <c r="E793" i="3"/>
  <c r="B793" i="3"/>
  <c r="U792" i="3"/>
  <c r="K792" i="3"/>
  <c r="E792" i="3"/>
  <c r="B792" i="3"/>
  <c r="U791" i="3"/>
  <c r="K791" i="3"/>
  <c r="E791" i="3"/>
  <c r="B791" i="3"/>
  <c r="U790" i="3"/>
  <c r="K790" i="3"/>
  <c r="E790" i="3"/>
  <c r="B790" i="3"/>
  <c r="U789" i="3"/>
  <c r="K789" i="3"/>
  <c r="E789" i="3"/>
  <c r="B789" i="3"/>
  <c r="U788" i="3"/>
  <c r="K788" i="3"/>
  <c r="E788" i="3"/>
  <c r="B788" i="3"/>
  <c r="U787" i="3"/>
  <c r="K787" i="3"/>
  <c r="E787" i="3"/>
  <c r="B787" i="3"/>
  <c r="U786" i="3"/>
  <c r="K786" i="3"/>
  <c r="E786" i="3"/>
  <c r="B786" i="3"/>
  <c r="U785" i="3"/>
  <c r="K785" i="3"/>
  <c r="E785" i="3"/>
  <c r="B785" i="3"/>
  <c r="U784" i="3"/>
  <c r="K784" i="3"/>
  <c r="E784" i="3"/>
  <c r="B784" i="3"/>
  <c r="U783" i="3"/>
  <c r="K783" i="3"/>
  <c r="E783" i="3"/>
  <c r="B783" i="3"/>
  <c r="U782" i="3"/>
  <c r="K782" i="3"/>
  <c r="E782" i="3"/>
  <c r="B782" i="3"/>
  <c r="U781" i="3"/>
  <c r="K781" i="3"/>
  <c r="E781" i="3"/>
  <c r="B781" i="3"/>
  <c r="U780" i="3"/>
  <c r="K780" i="3"/>
  <c r="E780" i="3"/>
  <c r="B780" i="3"/>
  <c r="U779" i="3"/>
  <c r="K779" i="3"/>
  <c r="E779" i="3"/>
  <c r="B779" i="3"/>
  <c r="U778" i="3"/>
  <c r="K778" i="3"/>
  <c r="E778" i="3"/>
  <c r="B778" i="3"/>
  <c r="U777" i="3"/>
  <c r="K777" i="3"/>
  <c r="E777" i="3"/>
  <c r="B777" i="3"/>
  <c r="U776" i="3"/>
  <c r="K776" i="3"/>
  <c r="E776" i="3"/>
  <c r="B776" i="3"/>
  <c r="U775" i="3"/>
  <c r="K775" i="3"/>
  <c r="E775" i="3"/>
  <c r="B775" i="3"/>
  <c r="U774" i="3"/>
  <c r="K774" i="3"/>
  <c r="E774" i="3"/>
  <c r="B774" i="3"/>
  <c r="U773" i="3"/>
  <c r="K773" i="3"/>
  <c r="E773" i="3"/>
  <c r="B773" i="3"/>
  <c r="U772" i="3"/>
  <c r="K772" i="3"/>
  <c r="E772" i="3"/>
  <c r="B772" i="3"/>
  <c r="U771" i="3"/>
  <c r="K771" i="3"/>
  <c r="E771" i="3"/>
  <c r="B771" i="3"/>
  <c r="U770" i="3"/>
  <c r="K770" i="3"/>
  <c r="E770" i="3"/>
  <c r="B770" i="3"/>
  <c r="U769" i="3"/>
  <c r="K769" i="3"/>
  <c r="E769" i="3"/>
  <c r="B769" i="3"/>
  <c r="U768" i="3"/>
  <c r="K768" i="3"/>
  <c r="E768" i="3"/>
  <c r="B768" i="3"/>
  <c r="U767" i="3"/>
  <c r="K767" i="3"/>
  <c r="E767" i="3"/>
  <c r="B767" i="3"/>
  <c r="U766" i="3"/>
  <c r="K766" i="3"/>
  <c r="E766" i="3"/>
  <c r="B766" i="3"/>
  <c r="K765" i="3"/>
  <c r="E765" i="3"/>
  <c r="B765" i="3"/>
  <c r="U764" i="3"/>
  <c r="K764" i="3"/>
  <c r="E764" i="3"/>
  <c r="B764" i="3"/>
  <c r="U763" i="3"/>
  <c r="K763" i="3"/>
  <c r="E763" i="3"/>
  <c r="B763" i="3"/>
  <c r="U762" i="3"/>
  <c r="K762" i="3"/>
  <c r="E762" i="3"/>
  <c r="B762" i="3"/>
  <c r="U761" i="3"/>
  <c r="K761" i="3"/>
  <c r="E761" i="3"/>
  <c r="B761" i="3"/>
  <c r="U760" i="3"/>
  <c r="K760" i="3"/>
  <c r="E760" i="3"/>
  <c r="B760" i="3"/>
  <c r="U759" i="3"/>
  <c r="K759" i="3"/>
  <c r="E759" i="3"/>
  <c r="B759" i="3"/>
  <c r="K758" i="3"/>
  <c r="E758" i="3"/>
  <c r="B758" i="3"/>
  <c r="U757" i="3"/>
  <c r="K757" i="3"/>
  <c r="E757" i="3"/>
  <c r="B757" i="3"/>
  <c r="U756" i="3"/>
  <c r="K756" i="3"/>
  <c r="E756" i="3"/>
  <c r="B756" i="3"/>
  <c r="U755" i="3"/>
  <c r="K755" i="3"/>
  <c r="E755" i="3"/>
  <c r="B755" i="3"/>
  <c r="U754" i="3"/>
  <c r="K754" i="3"/>
  <c r="E754" i="3"/>
  <c r="B754" i="3"/>
  <c r="U753" i="3"/>
  <c r="K753" i="3"/>
  <c r="E753" i="3"/>
  <c r="B753" i="3"/>
  <c r="U752" i="3"/>
  <c r="K752" i="3"/>
  <c r="E752" i="3"/>
  <c r="B752" i="3"/>
  <c r="U751" i="3"/>
  <c r="K751" i="3"/>
  <c r="E751" i="3"/>
  <c r="B751" i="3"/>
  <c r="U750" i="3"/>
  <c r="K750" i="3"/>
  <c r="E750" i="3"/>
  <c r="B750" i="3"/>
  <c r="U749" i="3"/>
  <c r="K749" i="3"/>
  <c r="E749" i="3"/>
  <c r="B749" i="3"/>
  <c r="U748" i="3"/>
  <c r="K748" i="3"/>
  <c r="E748" i="3"/>
  <c r="B748" i="3"/>
  <c r="U747" i="3"/>
  <c r="K747" i="3"/>
  <c r="E747" i="3"/>
  <c r="B747" i="3"/>
  <c r="U746" i="3"/>
  <c r="K746" i="3"/>
  <c r="E746" i="3"/>
  <c r="B746" i="3"/>
  <c r="U745" i="3"/>
  <c r="K745" i="3"/>
  <c r="E745" i="3"/>
  <c r="B745" i="3"/>
  <c r="U744" i="3"/>
  <c r="K744" i="3"/>
  <c r="E744" i="3"/>
  <c r="B744" i="3"/>
  <c r="U743" i="3"/>
  <c r="K743" i="3"/>
  <c r="E743" i="3"/>
  <c r="B743" i="3"/>
  <c r="U742" i="3"/>
  <c r="K742" i="3"/>
  <c r="E742" i="3"/>
  <c r="B742" i="3"/>
  <c r="U741" i="3"/>
  <c r="K741" i="3"/>
  <c r="E741" i="3"/>
  <c r="B741" i="3"/>
  <c r="U740" i="3"/>
  <c r="K740" i="3"/>
  <c r="E740" i="3"/>
  <c r="B740" i="3"/>
  <c r="U739" i="3"/>
  <c r="K739" i="3"/>
  <c r="E739" i="3"/>
  <c r="B739" i="3"/>
  <c r="U738" i="3"/>
  <c r="K738" i="3"/>
  <c r="E738" i="3"/>
  <c r="B738" i="3"/>
  <c r="U737" i="3"/>
  <c r="K737" i="3"/>
  <c r="E737" i="3"/>
  <c r="B737" i="3"/>
  <c r="U736" i="3"/>
  <c r="K736" i="3"/>
  <c r="E736" i="3"/>
  <c r="B736" i="3"/>
  <c r="U735" i="3"/>
  <c r="K735" i="3"/>
  <c r="E735" i="3"/>
  <c r="B735" i="3"/>
  <c r="U734" i="3"/>
  <c r="K734" i="3"/>
  <c r="E734" i="3"/>
  <c r="B734" i="3"/>
  <c r="U733" i="3"/>
  <c r="K733" i="3"/>
  <c r="E733" i="3"/>
  <c r="B733" i="3"/>
  <c r="U732" i="3"/>
  <c r="K732" i="3"/>
  <c r="E732" i="3"/>
  <c r="B732" i="3"/>
  <c r="U731" i="3"/>
  <c r="K731" i="3"/>
  <c r="E731" i="3"/>
  <c r="B731" i="3"/>
  <c r="U730" i="3"/>
  <c r="K730" i="3"/>
  <c r="E730" i="3"/>
  <c r="B730" i="3"/>
  <c r="U729" i="3"/>
  <c r="K729" i="3"/>
  <c r="E729" i="3"/>
  <c r="B729" i="3"/>
  <c r="U728" i="3"/>
  <c r="K728" i="3"/>
  <c r="E728" i="3"/>
  <c r="B728" i="3"/>
  <c r="U727" i="3"/>
  <c r="K727" i="3"/>
  <c r="E727" i="3"/>
  <c r="B727" i="3"/>
  <c r="U726" i="3"/>
  <c r="K726" i="3"/>
  <c r="E726" i="3"/>
  <c r="B726" i="3"/>
  <c r="U725" i="3"/>
  <c r="K725" i="3"/>
  <c r="E725" i="3"/>
  <c r="B725" i="3"/>
  <c r="U724" i="3"/>
  <c r="K724" i="3"/>
  <c r="E724" i="3"/>
  <c r="B724" i="3"/>
  <c r="U723" i="3"/>
  <c r="K723" i="3"/>
  <c r="E723" i="3"/>
  <c r="B723" i="3"/>
  <c r="U722" i="3"/>
  <c r="K722" i="3"/>
  <c r="E722" i="3"/>
  <c r="B722" i="3"/>
  <c r="U721" i="3"/>
  <c r="K721" i="3"/>
  <c r="E721" i="3"/>
  <c r="B721" i="3"/>
  <c r="U720" i="3"/>
  <c r="K720" i="3"/>
  <c r="E720" i="3"/>
  <c r="B720" i="3"/>
  <c r="U719" i="3"/>
  <c r="K719" i="3"/>
  <c r="E719" i="3"/>
  <c r="B719" i="3"/>
  <c r="U718" i="3"/>
  <c r="K718" i="3"/>
  <c r="E718" i="3"/>
  <c r="B718" i="3"/>
  <c r="U717" i="3"/>
  <c r="K717" i="3"/>
  <c r="E717" i="3"/>
  <c r="B717" i="3"/>
  <c r="U716" i="3"/>
  <c r="K716" i="3"/>
  <c r="E716" i="3"/>
  <c r="B716" i="3"/>
  <c r="U715" i="3"/>
  <c r="K715" i="3"/>
  <c r="E715" i="3"/>
  <c r="B715" i="3"/>
  <c r="U714" i="3"/>
  <c r="K714" i="3"/>
  <c r="E714" i="3"/>
  <c r="B714" i="3"/>
  <c r="U713" i="3"/>
  <c r="K713" i="3"/>
  <c r="E713" i="3"/>
  <c r="B713" i="3"/>
  <c r="U712" i="3"/>
  <c r="K712" i="3"/>
  <c r="E712" i="3"/>
  <c r="B712" i="3"/>
  <c r="U711" i="3"/>
  <c r="K711" i="3"/>
  <c r="E711" i="3"/>
  <c r="B711" i="3"/>
  <c r="U710" i="3"/>
  <c r="K710" i="3"/>
  <c r="E710" i="3"/>
  <c r="B710" i="3"/>
  <c r="U709" i="3"/>
  <c r="K709" i="3"/>
  <c r="E709" i="3"/>
  <c r="B709" i="3"/>
  <c r="U708" i="3"/>
  <c r="K708" i="3"/>
  <c r="E708" i="3"/>
  <c r="B708" i="3"/>
  <c r="U707" i="3"/>
  <c r="K707" i="3"/>
  <c r="E707" i="3"/>
  <c r="B707" i="3"/>
  <c r="U706" i="3"/>
  <c r="K706" i="3"/>
  <c r="E706" i="3"/>
  <c r="B706" i="3"/>
  <c r="U705" i="3"/>
  <c r="K705" i="3"/>
  <c r="E705" i="3"/>
  <c r="B705" i="3"/>
  <c r="U704" i="3"/>
  <c r="K704" i="3"/>
  <c r="E704" i="3"/>
  <c r="B704" i="3"/>
  <c r="U703" i="3"/>
  <c r="K703" i="3"/>
  <c r="E703" i="3"/>
  <c r="B703" i="3"/>
  <c r="U702" i="3"/>
  <c r="K702" i="3"/>
  <c r="E702" i="3"/>
  <c r="B702" i="3"/>
  <c r="U701" i="3"/>
  <c r="K701" i="3"/>
  <c r="E701" i="3"/>
  <c r="B701" i="3"/>
  <c r="U700" i="3"/>
  <c r="K700" i="3"/>
  <c r="E700" i="3"/>
  <c r="B700" i="3"/>
  <c r="U699" i="3"/>
  <c r="K699" i="3"/>
  <c r="E699" i="3"/>
  <c r="B699" i="3"/>
  <c r="U698" i="3"/>
  <c r="K698" i="3"/>
  <c r="E698" i="3"/>
  <c r="B698" i="3"/>
  <c r="U697" i="3"/>
  <c r="K697" i="3"/>
  <c r="E697" i="3"/>
  <c r="B697" i="3"/>
  <c r="U696" i="3"/>
  <c r="K696" i="3"/>
  <c r="E696" i="3"/>
  <c r="B696" i="3"/>
  <c r="U695" i="3"/>
  <c r="K695" i="3"/>
  <c r="E695" i="3"/>
  <c r="B695" i="3"/>
  <c r="U694" i="3"/>
  <c r="K694" i="3"/>
  <c r="E694" i="3"/>
  <c r="B694" i="3"/>
  <c r="U693" i="3"/>
  <c r="K693" i="3"/>
  <c r="E693" i="3"/>
  <c r="B693" i="3"/>
  <c r="U692" i="3"/>
  <c r="K692" i="3"/>
  <c r="E692" i="3"/>
  <c r="B692" i="3"/>
  <c r="U691" i="3"/>
  <c r="K691" i="3"/>
  <c r="E691" i="3"/>
  <c r="B691" i="3"/>
  <c r="U690" i="3"/>
  <c r="K690" i="3"/>
  <c r="E690" i="3"/>
  <c r="B690" i="3"/>
  <c r="U689" i="3"/>
  <c r="K689" i="3"/>
  <c r="E689" i="3"/>
  <c r="B689" i="3"/>
  <c r="U688" i="3"/>
  <c r="K688" i="3"/>
  <c r="E688" i="3"/>
  <c r="B688" i="3"/>
  <c r="U687" i="3"/>
  <c r="K687" i="3"/>
  <c r="E687" i="3"/>
  <c r="B687" i="3"/>
  <c r="U686" i="3"/>
  <c r="K686" i="3"/>
  <c r="E686" i="3"/>
  <c r="B686" i="3"/>
  <c r="U685" i="3"/>
  <c r="K685" i="3"/>
  <c r="E685" i="3"/>
  <c r="B685" i="3"/>
  <c r="U684" i="3"/>
  <c r="K684" i="3"/>
  <c r="E684" i="3"/>
  <c r="B684" i="3"/>
  <c r="U683" i="3"/>
  <c r="K683" i="3"/>
  <c r="E683" i="3"/>
  <c r="B683" i="3"/>
  <c r="U682" i="3"/>
  <c r="K682" i="3"/>
  <c r="E682" i="3"/>
  <c r="B682" i="3"/>
  <c r="U681" i="3"/>
  <c r="K681" i="3"/>
  <c r="E681" i="3"/>
  <c r="B681" i="3"/>
  <c r="U680" i="3"/>
  <c r="K680" i="3"/>
  <c r="E680" i="3"/>
  <c r="B680" i="3"/>
  <c r="U679" i="3"/>
  <c r="K679" i="3"/>
  <c r="E679" i="3"/>
  <c r="B679" i="3"/>
  <c r="U678" i="3"/>
  <c r="K678" i="3"/>
  <c r="E678" i="3"/>
  <c r="B678" i="3"/>
  <c r="U677" i="3"/>
  <c r="K677" i="3"/>
  <c r="E677" i="3"/>
  <c r="B677" i="3"/>
  <c r="U676" i="3"/>
  <c r="K676" i="3"/>
  <c r="E676" i="3"/>
  <c r="B676" i="3"/>
  <c r="U675" i="3"/>
  <c r="K675" i="3"/>
  <c r="E675" i="3"/>
  <c r="B675" i="3"/>
  <c r="U674" i="3"/>
  <c r="K674" i="3"/>
  <c r="E674" i="3"/>
  <c r="B674" i="3"/>
  <c r="U673" i="3"/>
  <c r="K673" i="3"/>
  <c r="E673" i="3"/>
  <c r="B673" i="3"/>
  <c r="U672" i="3"/>
  <c r="K672" i="3"/>
  <c r="E672" i="3"/>
  <c r="B672" i="3"/>
  <c r="U671" i="3"/>
  <c r="K671" i="3"/>
  <c r="E671" i="3"/>
  <c r="B671" i="3"/>
  <c r="U670" i="3"/>
  <c r="K670" i="3"/>
  <c r="E670" i="3"/>
  <c r="B670" i="3"/>
  <c r="U669" i="3"/>
  <c r="K669" i="3"/>
  <c r="E669" i="3"/>
  <c r="B669" i="3"/>
  <c r="U668" i="3"/>
  <c r="K668" i="3"/>
  <c r="E668" i="3"/>
  <c r="B668" i="3"/>
  <c r="U667" i="3"/>
  <c r="K667" i="3"/>
  <c r="E667" i="3"/>
  <c r="B667" i="3"/>
  <c r="U666" i="3"/>
  <c r="K666" i="3"/>
  <c r="E666" i="3"/>
  <c r="B666" i="3"/>
  <c r="U665" i="3"/>
  <c r="K665" i="3"/>
  <c r="E665" i="3"/>
  <c r="B665" i="3"/>
  <c r="U664" i="3"/>
  <c r="K664" i="3"/>
  <c r="E664" i="3"/>
  <c r="B664" i="3"/>
  <c r="U663" i="3"/>
  <c r="K663" i="3"/>
  <c r="E663" i="3"/>
  <c r="B663" i="3"/>
  <c r="U662" i="3"/>
  <c r="K662" i="3"/>
  <c r="E662" i="3"/>
  <c r="B662" i="3"/>
  <c r="U661" i="3"/>
  <c r="K661" i="3"/>
  <c r="E661" i="3"/>
  <c r="B661" i="3"/>
  <c r="U660" i="3"/>
  <c r="K660" i="3"/>
  <c r="E660" i="3"/>
  <c r="B660" i="3"/>
  <c r="U659" i="3"/>
  <c r="K659" i="3"/>
  <c r="E659" i="3"/>
  <c r="B659" i="3"/>
  <c r="U658" i="3"/>
  <c r="K658" i="3"/>
  <c r="E658" i="3"/>
  <c r="B658" i="3"/>
  <c r="U657" i="3"/>
  <c r="K657" i="3"/>
  <c r="E657" i="3"/>
  <c r="B657" i="3"/>
  <c r="U656" i="3"/>
  <c r="K656" i="3"/>
  <c r="E656" i="3"/>
  <c r="B656" i="3"/>
  <c r="U655" i="3"/>
  <c r="K655" i="3"/>
  <c r="E655" i="3"/>
  <c r="B655" i="3"/>
  <c r="U654" i="3"/>
  <c r="K654" i="3"/>
  <c r="E654" i="3"/>
  <c r="B654" i="3"/>
  <c r="U653" i="3"/>
  <c r="K653" i="3"/>
  <c r="E653" i="3"/>
  <c r="B653" i="3"/>
  <c r="U652" i="3"/>
  <c r="K652" i="3"/>
  <c r="E652" i="3"/>
  <c r="B652" i="3"/>
  <c r="U651" i="3"/>
  <c r="K651" i="3"/>
  <c r="E651" i="3"/>
  <c r="B651" i="3"/>
  <c r="U650" i="3"/>
  <c r="K650" i="3"/>
  <c r="E650" i="3"/>
  <c r="B650" i="3"/>
  <c r="U649" i="3"/>
  <c r="K649" i="3"/>
  <c r="E649" i="3"/>
  <c r="B649" i="3"/>
  <c r="U648" i="3"/>
  <c r="K648" i="3"/>
  <c r="E648" i="3"/>
  <c r="B648" i="3"/>
  <c r="U647" i="3"/>
  <c r="K647" i="3"/>
  <c r="E647" i="3"/>
  <c r="B647" i="3"/>
  <c r="U646" i="3"/>
  <c r="K646" i="3"/>
  <c r="E646" i="3"/>
  <c r="B646" i="3"/>
  <c r="U645" i="3"/>
  <c r="K645" i="3"/>
  <c r="E645" i="3"/>
  <c r="B645" i="3"/>
  <c r="U644" i="3"/>
  <c r="K644" i="3"/>
  <c r="E644" i="3"/>
  <c r="B644" i="3"/>
  <c r="U643" i="3"/>
  <c r="K643" i="3"/>
  <c r="E643" i="3"/>
  <c r="B643" i="3"/>
  <c r="U642" i="3"/>
  <c r="K642" i="3"/>
  <c r="E642" i="3"/>
  <c r="B642" i="3"/>
  <c r="U641" i="3"/>
  <c r="K641" i="3"/>
  <c r="E641" i="3"/>
  <c r="B641" i="3"/>
  <c r="U640" i="3"/>
  <c r="K640" i="3"/>
  <c r="E640" i="3"/>
  <c r="B640" i="3"/>
  <c r="U639" i="3"/>
  <c r="K639" i="3"/>
  <c r="E639" i="3"/>
  <c r="B639" i="3"/>
  <c r="U638" i="3"/>
  <c r="K638" i="3"/>
  <c r="E638" i="3"/>
  <c r="B638" i="3"/>
  <c r="U637" i="3"/>
  <c r="K637" i="3"/>
  <c r="E637" i="3"/>
  <c r="B637" i="3"/>
  <c r="U636" i="3"/>
  <c r="K636" i="3"/>
  <c r="E636" i="3"/>
  <c r="B636" i="3"/>
  <c r="U635" i="3"/>
  <c r="K635" i="3"/>
  <c r="E635" i="3"/>
  <c r="B635" i="3"/>
  <c r="U634" i="3"/>
  <c r="K634" i="3"/>
  <c r="E634" i="3"/>
  <c r="B634" i="3"/>
  <c r="U633" i="3"/>
  <c r="K633" i="3"/>
  <c r="E633" i="3"/>
  <c r="B633" i="3"/>
  <c r="U632" i="3"/>
  <c r="K632" i="3"/>
  <c r="E632" i="3"/>
  <c r="B632" i="3"/>
  <c r="U631" i="3"/>
  <c r="K631" i="3"/>
  <c r="E631" i="3"/>
  <c r="B631" i="3"/>
  <c r="U630" i="3"/>
  <c r="K630" i="3"/>
  <c r="E630" i="3"/>
  <c r="B630" i="3"/>
  <c r="U629" i="3"/>
  <c r="K629" i="3"/>
  <c r="E629" i="3"/>
  <c r="B629" i="3"/>
  <c r="U628" i="3"/>
  <c r="K628" i="3"/>
  <c r="E628" i="3"/>
  <c r="B628" i="3"/>
  <c r="U627" i="3"/>
  <c r="K627" i="3"/>
  <c r="E627" i="3"/>
  <c r="B627" i="3"/>
  <c r="U626" i="3"/>
  <c r="K626" i="3"/>
  <c r="E626" i="3"/>
  <c r="B626" i="3"/>
  <c r="U625" i="3"/>
  <c r="K625" i="3"/>
  <c r="E625" i="3"/>
  <c r="B625" i="3"/>
  <c r="U624" i="3"/>
  <c r="K624" i="3"/>
  <c r="E624" i="3"/>
  <c r="B624" i="3"/>
  <c r="U623" i="3"/>
  <c r="K623" i="3"/>
  <c r="E623" i="3"/>
  <c r="B623" i="3"/>
  <c r="U622" i="3"/>
  <c r="K622" i="3"/>
  <c r="E622" i="3"/>
  <c r="B622" i="3"/>
  <c r="U621" i="3"/>
  <c r="K621" i="3"/>
  <c r="E621" i="3"/>
  <c r="B621" i="3"/>
  <c r="U620" i="3"/>
  <c r="K620" i="3"/>
  <c r="E620" i="3"/>
  <c r="B620" i="3"/>
  <c r="U619" i="3"/>
  <c r="K619" i="3"/>
  <c r="E619" i="3"/>
  <c r="B619" i="3"/>
  <c r="U618" i="3"/>
  <c r="K618" i="3"/>
  <c r="E618" i="3"/>
  <c r="B618" i="3"/>
  <c r="U617" i="3"/>
  <c r="K617" i="3"/>
  <c r="E617" i="3"/>
  <c r="B617" i="3"/>
  <c r="U616" i="3"/>
  <c r="K616" i="3"/>
  <c r="E616" i="3"/>
  <c r="B616" i="3"/>
  <c r="U615" i="3"/>
  <c r="K615" i="3"/>
  <c r="E615" i="3"/>
  <c r="B615" i="3"/>
  <c r="U614" i="3"/>
  <c r="K614" i="3"/>
  <c r="E614" i="3"/>
  <c r="B614" i="3"/>
  <c r="U613" i="3"/>
  <c r="K613" i="3"/>
  <c r="E613" i="3"/>
  <c r="B613" i="3"/>
  <c r="U612" i="3"/>
  <c r="K612" i="3"/>
  <c r="E612" i="3"/>
  <c r="B612" i="3"/>
  <c r="U611" i="3"/>
  <c r="K611" i="3"/>
  <c r="E611" i="3"/>
  <c r="B611" i="3"/>
  <c r="U610" i="3"/>
  <c r="K610" i="3"/>
  <c r="E610" i="3"/>
  <c r="B610" i="3"/>
  <c r="U609" i="3"/>
  <c r="K609" i="3"/>
  <c r="E609" i="3"/>
  <c r="B609" i="3"/>
  <c r="U608" i="3"/>
  <c r="K608" i="3"/>
  <c r="E608" i="3"/>
  <c r="B608" i="3"/>
  <c r="U607" i="3"/>
  <c r="K607" i="3"/>
  <c r="E607" i="3"/>
  <c r="B607" i="3"/>
  <c r="U606" i="3"/>
  <c r="K606" i="3"/>
  <c r="E606" i="3"/>
  <c r="B606" i="3"/>
  <c r="U605" i="3"/>
  <c r="K605" i="3"/>
  <c r="E605" i="3"/>
  <c r="B605" i="3"/>
  <c r="U604" i="3"/>
  <c r="K604" i="3"/>
  <c r="E604" i="3"/>
  <c r="B604" i="3"/>
  <c r="U603" i="3"/>
  <c r="K603" i="3"/>
  <c r="E603" i="3"/>
  <c r="B603" i="3"/>
  <c r="U602" i="3"/>
  <c r="K602" i="3"/>
  <c r="E602" i="3"/>
  <c r="B602" i="3"/>
  <c r="U601" i="3"/>
  <c r="K601" i="3"/>
  <c r="E601" i="3"/>
  <c r="B601" i="3"/>
  <c r="U600" i="3"/>
  <c r="K600" i="3"/>
  <c r="E600" i="3"/>
  <c r="B600" i="3"/>
  <c r="U599" i="3"/>
  <c r="K599" i="3"/>
  <c r="E599" i="3"/>
  <c r="B599" i="3"/>
  <c r="U598" i="3"/>
  <c r="K598" i="3"/>
  <c r="E598" i="3"/>
  <c r="B598" i="3"/>
  <c r="U597" i="3"/>
  <c r="K597" i="3"/>
  <c r="E597" i="3"/>
  <c r="B597" i="3"/>
  <c r="U596" i="3"/>
  <c r="K596" i="3"/>
  <c r="E596" i="3"/>
  <c r="B596" i="3"/>
  <c r="U595" i="3"/>
  <c r="K595" i="3"/>
  <c r="E595" i="3"/>
  <c r="B595" i="3"/>
  <c r="U594" i="3"/>
  <c r="K594" i="3"/>
  <c r="E594" i="3"/>
  <c r="B594" i="3"/>
  <c r="U593" i="3"/>
  <c r="K593" i="3"/>
  <c r="E593" i="3"/>
  <c r="B593" i="3"/>
  <c r="U592" i="3"/>
  <c r="K592" i="3"/>
  <c r="E592" i="3"/>
  <c r="B592" i="3"/>
  <c r="U591" i="3"/>
  <c r="K591" i="3"/>
  <c r="E591" i="3"/>
  <c r="B591" i="3"/>
  <c r="U590" i="3"/>
  <c r="K590" i="3"/>
  <c r="E590" i="3"/>
  <c r="B590" i="3"/>
  <c r="U589" i="3"/>
  <c r="K589" i="3"/>
  <c r="E589" i="3"/>
  <c r="B589" i="3"/>
  <c r="U588" i="3"/>
  <c r="K588" i="3"/>
  <c r="E588" i="3"/>
  <c r="B588" i="3"/>
  <c r="U587" i="3"/>
  <c r="K587" i="3"/>
  <c r="E587" i="3"/>
  <c r="B587" i="3"/>
  <c r="U586" i="3"/>
  <c r="K586" i="3"/>
  <c r="E586" i="3"/>
  <c r="B586" i="3"/>
  <c r="U585" i="3"/>
  <c r="K585" i="3"/>
  <c r="H585" i="3"/>
  <c r="E585" i="3"/>
  <c r="B585" i="3"/>
  <c r="U584" i="3"/>
  <c r="K584" i="3"/>
  <c r="E584" i="3"/>
  <c r="B584" i="3"/>
  <c r="U583" i="3"/>
  <c r="K583" i="3"/>
  <c r="E583" i="3"/>
  <c r="B583" i="3"/>
  <c r="U582" i="3"/>
  <c r="K582" i="3"/>
  <c r="E582" i="3"/>
  <c r="B582" i="3"/>
  <c r="U581" i="3"/>
  <c r="K581" i="3"/>
  <c r="E581" i="3"/>
  <c r="B581" i="3"/>
  <c r="U580" i="3"/>
  <c r="K580" i="3"/>
  <c r="E580" i="3"/>
  <c r="B580" i="3"/>
  <c r="U579" i="3"/>
  <c r="K579" i="3"/>
  <c r="E579" i="3"/>
  <c r="B579" i="3"/>
  <c r="U578" i="3"/>
  <c r="K578" i="3"/>
  <c r="E578" i="3"/>
  <c r="B578" i="3"/>
  <c r="U577" i="3"/>
  <c r="K577" i="3"/>
  <c r="E577" i="3"/>
  <c r="B577" i="3"/>
  <c r="U576" i="3"/>
  <c r="K576" i="3"/>
  <c r="E576" i="3"/>
  <c r="B576" i="3"/>
  <c r="U575" i="3"/>
  <c r="K575" i="3"/>
  <c r="E575" i="3"/>
  <c r="B575" i="3"/>
  <c r="U574" i="3"/>
  <c r="K574" i="3"/>
  <c r="E574" i="3"/>
  <c r="B574" i="3"/>
  <c r="U573" i="3"/>
  <c r="K573" i="3"/>
  <c r="E573" i="3"/>
  <c r="B573" i="3"/>
  <c r="U572" i="3"/>
  <c r="K572" i="3"/>
  <c r="E572" i="3"/>
  <c r="B572" i="3"/>
  <c r="U571" i="3"/>
  <c r="K571" i="3"/>
  <c r="E571" i="3"/>
  <c r="B571" i="3"/>
  <c r="U570" i="3"/>
  <c r="K570" i="3"/>
  <c r="E570" i="3"/>
  <c r="B570" i="3"/>
  <c r="U569" i="3"/>
  <c r="K569" i="3"/>
  <c r="E569" i="3"/>
  <c r="B569" i="3"/>
  <c r="U568" i="3"/>
  <c r="K568" i="3"/>
  <c r="E568" i="3"/>
  <c r="B568" i="3"/>
  <c r="U567" i="3"/>
  <c r="K567" i="3"/>
  <c r="E567" i="3"/>
  <c r="B567" i="3"/>
  <c r="U566" i="3"/>
  <c r="K566" i="3"/>
  <c r="E566" i="3"/>
  <c r="B566" i="3"/>
  <c r="U565" i="3"/>
  <c r="K565" i="3"/>
  <c r="E565" i="3"/>
  <c r="B565" i="3"/>
  <c r="U564" i="3"/>
  <c r="K564" i="3"/>
  <c r="E564" i="3"/>
  <c r="B564" i="3"/>
  <c r="U563" i="3"/>
  <c r="K563" i="3"/>
  <c r="E563" i="3"/>
  <c r="B563" i="3"/>
  <c r="U562" i="3"/>
  <c r="K562" i="3"/>
  <c r="E562" i="3"/>
  <c r="B562" i="3"/>
  <c r="U561" i="3"/>
  <c r="K561" i="3"/>
  <c r="E561" i="3"/>
  <c r="B561" i="3"/>
  <c r="U560" i="3"/>
  <c r="K560" i="3"/>
  <c r="E560" i="3"/>
  <c r="B560" i="3"/>
  <c r="U559" i="3"/>
  <c r="K559" i="3"/>
  <c r="E559" i="3"/>
  <c r="B559" i="3"/>
  <c r="U558" i="3"/>
  <c r="K558" i="3"/>
  <c r="E558" i="3"/>
  <c r="B558" i="3"/>
  <c r="U557" i="3"/>
  <c r="K557" i="3"/>
  <c r="E557" i="3"/>
  <c r="B557" i="3"/>
  <c r="U556" i="3"/>
  <c r="K556" i="3"/>
  <c r="E556" i="3"/>
  <c r="B556" i="3"/>
  <c r="U555" i="3"/>
  <c r="K555" i="3"/>
  <c r="E555" i="3"/>
  <c r="B555" i="3"/>
  <c r="U554" i="3"/>
  <c r="K554" i="3"/>
  <c r="E554" i="3"/>
  <c r="B554" i="3"/>
  <c r="U553" i="3"/>
  <c r="K553" i="3"/>
  <c r="E553" i="3"/>
  <c r="B553" i="3"/>
  <c r="U552" i="3"/>
  <c r="K552" i="3"/>
  <c r="E552" i="3"/>
  <c r="B552" i="3"/>
  <c r="U551" i="3"/>
  <c r="K551" i="3"/>
  <c r="E551" i="3"/>
  <c r="B551" i="3"/>
  <c r="U550" i="3"/>
  <c r="K550" i="3"/>
  <c r="E550" i="3"/>
  <c r="B550" i="3"/>
  <c r="U549" i="3"/>
  <c r="K549" i="3"/>
  <c r="E549" i="3"/>
  <c r="B549" i="3"/>
  <c r="U548" i="3"/>
  <c r="K548" i="3"/>
  <c r="E548" i="3"/>
  <c r="B548" i="3"/>
  <c r="U547" i="3"/>
  <c r="K547" i="3"/>
  <c r="E547" i="3"/>
  <c r="B547" i="3"/>
  <c r="U546" i="3"/>
  <c r="K546" i="3"/>
  <c r="E546" i="3"/>
  <c r="B546" i="3"/>
  <c r="U545" i="3"/>
  <c r="K545" i="3"/>
  <c r="E545" i="3"/>
  <c r="B545" i="3"/>
  <c r="U544" i="3"/>
  <c r="K544" i="3"/>
  <c r="E544" i="3"/>
  <c r="B544" i="3"/>
  <c r="U543" i="3"/>
  <c r="K543" i="3"/>
  <c r="E543" i="3"/>
  <c r="B543" i="3"/>
  <c r="U542" i="3"/>
  <c r="K542" i="3"/>
  <c r="E542" i="3"/>
  <c r="B542" i="3"/>
  <c r="U541" i="3"/>
  <c r="K541" i="3"/>
  <c r="E541" i="3"/>
  <c r="B541" i="3"/>
  <c r="U540" i="3"/>
  <c r="K540" i="3"/>
  <c r="E540" i="3"/>
  <c r="B540" i="3"/>
  <c r="K539" i="3"/>
  <c r="E539" i="3"/>
  <c r="B539" i="3"/>
  <c r="U538" i="3"/>
  <c r="K538" i="3"/>
  <c r="E538" i="3"/>
  <c r="B538" i="3"/>
  <c r="U537" i="3"/>
  <c r="K537" i="3"/>
  <c r="E537" i="3"/>
  <c r="B537" i="3"/>
  <c r="U536" i="3"/>
  <c r="K536" i="3"/>
  <c r="E536" i="3"/>
  <c r="B536" i="3"/>
  <c r="U535" i="3"/>
  <c r="K535" i="3"/>
  <c r="E535" i="3"/>
  <c r="B535" i="3"/>
  <c r="U534" i="3"/>
  <c r="K534" i="3"/>
  <c r="E534" i="3"/>
  <c r="B534" i="3"/>
  <c r="U533" i="3"/>
  <c r="K533" i="3"/>
  <c r="E533" i="3"/>
  <c r="B533" i="3"/>
  <c r="U532" i="3"/>
  <c r="K532" i="3"/>
  <c r="E532" i="3"/>
  <c r="B532" i="3"/>
  <c r="U531" i="3"/>
  <c r="K531" i="3"/>
  <c r="E531" i="3"/>
  <c r="B531" i="3"/>
  <c r="U530" i="3"/>
  <c r="K530" i="3"/>
  <c r="E530" i="3"/>
  <c r="B530" i="3"/>
  <c r="U529" i="3"/>
  <c r="K529" i="3"/>
  <c r="E529" i="3"/>
  <c r="B529" i="3"/>
  <c r="U528" i="3"/>
  <c r="K528" i="3"/>
  <c r="E528" i="3"/>
  <c r="B528" i="3"/>
  <c r="U527" i="3"/>
  <c r="K527" i="3"/>
  <c r="E527" i="3"/>
  <c r="B527" i="3"/>
  <c r="U526" i="3"/>
  <c r="K526" i="3"/>
  <c r="E526" i="3"/>
  <c r="B526" i="3"/>
  <c r="U525" i="3"/>
  <c r="K525" i="3"/>
  <c r="E525" i="3"/>
  <c r="B525" i="3"/>
  <c r="U524" i="3"/>
  <c r="K524" i="3"/>
  <c r="E524" i="3"/>
  <c r="B524" i="3"/>
  <c r="U523" i="3"/>
  <c r="K523" i="3"/>
  <c r="E523" i="3"/>
  <c r="B523" i="3"/>
  <c r="U522" i="3"/>
  <c r="K522" i="3"/>
  <c r="E522" i="3"/>
  <c r="B522" i="3"/>
  <c r="U521" i="3"/>
  <c r="K521" i="3"/>
  <c r="E521" i="3"/>
  <c r="B521" i="3"/>
  <c r="U520" i="3"/>
  <c r="K520" i="3"/>
  <c r="E520" i="3"/>
  <c r="B520" i="3"/>
  <c r="U519" i="3"/>
  <c r="K519" i="3"/>
  <c r="E519" i="3"/>
  <c r="B519" i="3"/>
  <c r="U518" i="3"/>
  <c r="K518" i="3"/>
  <c r="E518" i="3"/>
  <c r="B518" i="3"/>
  <c r="U517" i="3"/>
  <c r="K517" i="3"/>
  <c r="E517" i="3"/>
  <c r="B517" i="3"/>
  <c r="U516" i="3"/>
  <c r="K516" i="3"/>
  <c r="E516" i="3"/>
  <c r="B516" i="3"/>
  <c r="U515" i="3"/>
  <c r="K515" i="3"/>
  <c r="E515" i="3"/>
  <c r="B515" i="3"/>
  <c r="U514" i="3"/>
  <c r="K514" i="3"/>
  <c r="E514" i="3"/>
  <c r="B514" i="3"/>
  <c r="U513" i="3"/>
  <c r="K513" i="3"/>
  <c r="E513" i="3"/>
  <c r="B513" i="3"/>
  <c r="U512" i="3"/>
  <c r="K512" i="3"/>
  <c r="E512" i="3"/>
  <c r="B512" i="3"/>
  <c r="U511" i="3"/>
  <c r="K511" i="3"/>
  <c r="E511" i="3"/>
  <c r="B511" i="3"/>
  <c r="U510" i="3"/>
  <c r="K510" i="3"/>
  <c r="E510" i="3"/>
  <c r="B510" i="3"/>
  <c r="U509" i="3"/>
  <c r="K509" i="3"/>
  <c r="E509" i="3"/>
  <c r="B509" i="3"/>
  <c r="U508" i="3"/>
  <c r="K508" i="3"/>
  <c r="E508" i="3"/>
  <c r="B508" i="3"/>
  <c r="U507" i="3"/>
  <c r="K507" i="3"/>
  <c r="E507" i="3"/>
  <c r="B507" i="3"/>
  <c r="U506" i="3"/>
  <c r="K506" i="3"/>
  <c r="E506" i="3"/>
  <c r="B506" i="3"/>
  <c r="U505" i="3"/>
  <c r="K505" i="3"/>
  <c r="E505" i="3"/>
  <c r="B505" i="3"/>
  <c r="U504" i="3"/>
  <c r="K504" i="3"/>
  <c r="E504" i="3"/>
  <c r="B504" i="3"/>
  <c r="U503" i="3"/>
  <c r="K503" i="3"/>
  <c r="E503" i="3"/>
  <c r="B503" i="3"/>
  <c r="U502" i="3"/>
  <c r="K502" i="3"/>
  <c r="E502" i="3"/>
  <c r="B502" i="3"/>
  <c r="U501" i="3"/>
  <c r="K501" i="3"/>
  <c r="E501" i="3"/>
  <c r="B501" i="3"/>
  <c r="U500" i="3"/>
  <c r="K500" i="3"/>
  <c r="E500" i="3"/>
  <c r="B500" i="3"/>
  <c r="U499" i="3"/>
  <c r="K499" i="3"/>
  <c r="E499" i="3"/>
  <c r="B499" i="3"/>
  <c r="U498" i="3"/>
  <c r="K498" i="3"/>
  <c r="E498" i="3"/>
  <c r="B498" i="3"/>
  <c r="U497" i="3"/>
  <c r="K497" i="3"/>
  <c r="E497" i="3"/>
  <c r="B497" i="3"/>
  <c r="U496" i="3"/>
  <c r="K496" i="3"/>
  <c r="E496" i="3"/>
  <c r="B496" i="3"/>
  <c r="U495" i="3"/>
  <c r="K495" i="3"/>
  <c r="E495" i="3"/>
  <c r="B495" i="3"/>
  <c r="U494" i="3"/>
  <c r="K494" i="3"/>
  <c r="E494" i="3"/>
  <c r="B494" i="3"/>
  <c r="U493" i="3"/>
  <c r="K493" i="3"/>
  <c r="E493" i="3"/>
  <c r="B493" i="3"/>
  <c r="U492" i="3"/>
  <c r="K492" i="3"/>
  <c r="E492" i="3"/>
  <c r="B492" i="3"/>
  <c r="U491" i="3"/>
  <c r="K491" i="3"/>
  <c r="E491" i="3"/>
  <c r="B491" i="3"/>
  <c r="U490" i="3"/>
  <c r="K490" i="3"/>
  <c r="E490" i="3"/>
  <c r="B490" i="3"/>
  <c r="U489" i="3"/>
  <c r="K489" i="3"/>
  <c r="E489" i="3"/>
  <c r="B489" i="3"/>
  <c r="U488" i="3"/>
  <c r="K488" i="3"/>
  <c r="E488" i="3"/>
  <c r="B488" i="3"/>
  <c r="U487" i="3"/>
  <c r="K487" i="3"/>
  <c r="E487" i="3"/>
  <c r="B487" i="3"/>
  <c r="U486" i="3"/>
  <c r="K486" i="3"/>
  <c r="E486" i="3"/>
  <c r="B486" i="3"/>
  <c r="U485" i="3"/>
  <c r="K485" i="3"/>
  <c r="E485" i="3"/>
  <c r="B485" i="3"/>
  <c r="U484" i="3"/>
  <c r="K484" i="3"/>
  <c r="E484" i="3"/>
  <c r="B484" i="3"/>
  <c r="U483" i="3"/>
  <c r="K483" i="3"/>
  <c r="E483" i="3"/>
  <c r="B483" i="3"/>
  <c r="U482" i="3"/>
  <c r="K482" i="3"/>
  <c r="E482" i="3"/>
  <c r="B482" i="3"/>
  <c r="U481" i="3"/>
  <c r="K481" i="3"/>
  <c r="E481" i="3"/>
  <c r="B481" i="3"/>
  <c r="U480" i="3"/>
  <c r="K480" i="3"/>
  <c r="E480" i="3"/>
  <c r="B480" i="3"/>
  <c r="U479" i="3"/>
  <c r="K479" i="3"/>
  <c r="E479" i="3"/>
  <c r="B479" i="3"/>
  <c r="U478" i="3"/>
  <c r="K478" i="3"/>
  <c r="E478" i="3"/>
  <c r="B478" i="3"/>
  <c r="U477" i="3"/>
  <c r="K477" i="3"/>
  <c r="E477" i="3"/>
  <c r="B477" i="3"/>
  <c r="U476" i="3"/>
  <c r="K476" i="3"/>
  <c r="E476" i="3"/>
  <c r="B476" i="3"/>
  <c r="U475" i="3"/>
  <c r="K475" i="3"/>
  <c r="E475" i="3"/>
  <c r="B475" i="3"/>
  <c r="U474" i="3"/>
  <c r="K474" i="3"/>
  <c r="E474" i="3"/>
  <c r="B474" i="3"/>
  <c r="U473" i="3"/>
  <c r="K473" i="3"/>
  <c r="E473" i="3"/>
  <c r="B473" i="3"/>
  <c r="U472" i="3"/>
  <c r="K472" i="3"/>
  <c r="E472" i="3"/>
  <c r="B472" i="3"/>
  <c r="U471" i="3"/>
  <c r="K471" i="3"/>
  <c r="E471" i="3"/>
  <c r="B471" i="3"/>
  <c r="U470" i="3"/>
  <c r="K470" i="3"/>
  <c r="E470" i="3"/>
  <c r="B470" i="3"/>
  <c r="U469" i="3"/>
  <c r="K469" i="3"/>
  <c r="E469" i="3"/>
  <c r="B469" i="3"/>
  <c r="U468" i="3"/>
  <c r="K468" i="3"/>
  <c r="E468" i="3"/>
  <c r="B468" i="3"/>
  <c r="U467" i="3"/>
  <c r="K467" i="3"/>
  <c r="E467" i="3"/>
  <c r="B467" i="3"/>
  <c r="U466" i="3"/>
  <c r="K466" i="3"/>
  <c r="E466" i="3"/>
  <c r="B466" i="3"/>
  <c r="U465" i="3"/>
  <c r="K465" i="3"/>
  <c r="E465" i="3"/>
  <c r="B465" i="3"/>
  <c r="U464" i="3"/>
  <c r="K464" i="3"/>
  <c r="E464" i="3"/>
  <c r="B464" i="3"/>
  <c r="U463" i="3"/>
  <c r="K463" i="3"/>
  <c r="E463" i="3"/>
  <c r="B463" i="3"/>
  <c r="K462" i="3"/>
  <c r="E462" i="3"/>
  <c r="B462" i="3"/>
  <c r="U461" i="3"/>
  <c r="K461" i="3"/>
  <c r="E461" i="3"/>
  <c r="B461" i="3"/>
  <c r="U460" i="3"/>
  <c r="K460" i="3"/>
  <c r="E460" i="3"/>
  <c r="B460" i="3"/>
  <c r="U459" i="3"/>
  <c r="K459" i="3"/>
  <c r="E459" i="3"/>
  <c r="B459" i="3"/>
  <c r="U458" i="3"/>
  <c r="K458" i="3"/>
  <c r="E458" i="3"/>
  <c r="B458" i="3"/>
  <c r="U457" i="3"/>
  <c r="K457" i="3"/>
  <c r="E457" i="3"/>
  <c r="B457" i="3"/>
  <c r="U456" i="3"/>
  <c r="K456" i="3"/>
  <c r="E456" i="3"/>
  <c r="B456" i="3"/>
  <c r="U455" i="3"/>
  <c r="K455" i="3"/>
  <c r="E455" i="3"/>
  <c r="B455" i="3"/>
  <c r="U454" i="3"/>
  <c r="K454" i="3"/>
  <c r="E454" i="3"/>
  <c r="B454" i="3"/>
  <c r="U453" i="3"/>
  <c r="K453" i="3"/>
  <c r="E453" i="3"/>
  <c r="B453" i="3"/>
  <c r="U452" i="3"/>
  <c r="K452" i="3"/>
  <c r="E452" i="3"/>
  <c r="B452" i="3"/>
  <c r="U451" i="3"/>
  <c r="K451" i="3"/>
  <c r="E451" i="3"/>
  <c r="B451" i="3"/>
  <c r="U450" i="3"/>
  <c r="K450" i="3"/>
  <c r="E450" i="3"/>
  <c r="B450" i="3"/>
  <c r="U449" i="3"/>
  <c r="K449" i="3"/>
  <c r="E449" i="3"/>
  <c r="B449" i="3"/>
  <c r="U448" i="3"/>
  <c r="K448" i="3"/>
  <c r="E448" i="3"/>
  <c r="B448" i="3"/>
  <c r="U447" i="3"/>
  <c r="K447" i="3"/>
  <c r="E447" i="3"/>
  <c r="B447" i="3"/>
  <c r="U446" i="3"/>
  <c r="K446" i="3"/>
  <c r="E446" i="3"/>
  <c r="B446" i="3"/>
  <c r="U445" i="3"/>
  <c r="K445" i="3"/>
  <c r="E445" i="3"/>
  <c r="B445" i="3"/>
  <c r="U444" i="3"/>
  <c r="K444" i="3"/>
  <c r="E444" i="3"/>
  <c r="B444" i="3"/>
  <c r="U443" i="3"/>
  <c r="K443" i="3"/>
  <c r="E443" i="3"/>
  <c r="B443" i="3"/>
  <c r="U442" i="3"/>
  <c r="K442" i="3"/>
  <c r="E442" i="3"/>
  <c r="B442" i="3"/>
  <c r="U441" i="3"/>
  <c r="K441" i="3"/>
  <c r="E441" i="3"/>
  <c r="B441" i="3"/>
  <c r="U440" i="3"/>
  <c r="K440" i="3"/>
  <c r="E440" i="3"/>
  <c r="B440" i="3"/>
  <c r="U439" i="3"/>
  <c r="K439" i="3"/>
  <c r="E439" i="3"/>
  <c r="B439" i="3"/>
  <c r="U438" i="3"/>
  <c r="K438" i="3"/>
  <c r="E438" i="3"/>
  <c r="B438" i="3"/>
  <c r="U437" i="3"/>
  <c r="K437" i="3"/>
  <c r="E437" i="3"/>
  <c r="B437" i="3"/>
  <c r="U436" i="3"/>
  <c r="K436" i="3"/>
  <c r="E436" i="3"/>
  <c r="B436" i="3"/>
  <c r="U435" i="3"/>
  <c r="K435" i="3"/>
  <c r="E435" i="3"/>
  <c r="B435" i="3"/>
  <c r="U434" i="3"/>
  <c r="K434" i="3"/>
  <c r="E434" i="3"/>
  <c r="B434" i="3"/>
  <c r="U433" i="3"/>
  <c r="K433" i="3"/>
  <c r="E433" i="3"/>
  <c r="B433" i="3"/>
  <c r="U432" i="3"/>
  <c r="K432" i="3"/>
  <c r="E432" i="3"/>
  <c r="B432" i="3"/>
  <c r="U431" i="3"/>
  <c r="K431" i="3"/>
  <c r="E431" i="3"/>
  <c r="B431" i="3"/>
  <c r="U430" i="3"/>
  <c r="K430" i="3"/>
  <c r="E430" i="3"/>
  <c r="B430" i="3"/>
  <c r="U429" i="3"/>
  <c r="K429" i="3"/>
  <c r="E429" i="3"/>
  <c r="B429" i="3"/>
  <c r="K428" i="3"/>
  <c r="E428" i="3"/>
  <c r="B428" i="3"/>
  <c r="U427" i="3"/>
  <c r="K427" i="3"/>
  <c r="E427" i="3"/>
  <c r="B427" i="3"/>
  <c r="U426" i="3"/>
  <c r="K426" i="3"/>
  <c r="E426" i="3"/>
  <c r="B426" i="3"/>
  <c r="U425" i="3"/>
  <c r="K425" i="3"/>
  <c r="E425" i="3"/>
  <c r="B425" i="3"/>
  <c r="U424" i="3"/>
  <c r="K424" i="3"/>
  <c r="E424" i="3"/>
  <c r="B424" i="3"/>
  <c r="U423" i="3"/>
  <c r="K423" i="3"/>
  <c r="E423" i="3"/>
  <c r="B423" i="3"/>
  <c r="U422" i="3"/>
  <c r="K422" i="3"/>
  <c r="E422" i="3"/>
  <c r="B422" i="3"/>
  <c r="U421" i="3"/>
  <c r="K421" i="3"/>
  <c r="E421" i="3"/>
  <c r="B421" i="3"/>
  <c r="U420" i="3"/>
  <c r="K420" i="3"/>
  <c r="E420" i="3"/>
  <c r="B420" i="3"/>
  <c r="U419" i="3"/>
  <c r="K419" i="3"/>
  <c r="E419" i="3"/>
  <c r="B419" i="3"/>
  <c r="U418" i="3"/>
  <c r="K418" i="3"/>
  <c r="E418" i="3"/>
  <c r="B418" i="3"/>
  <c r="U417" i="3"/>
  <c r="K417" i="3"/>
  <c r="E417" i="3"/>
  <c r="B417" i="3"/>
  <c r="U416" i="3"/>
  <c r="K416" i="3"/>
  <c r="E416" i="3"/>
  <c r="B416" i="3"/>
  <c r="U415" i="3"/>
  <c r="K415" i="3"/>
  <c r="E415" i="3"/>
  <c r="B415" i="3"/>
  <c r="U414" i="3"/>
  <c r="K414" i="3"/>
  <c r="E414" i="3"/>
  <c r="B414" i="3"/>
  <c r="U413" i="3"/>
  <c r="K413" i="3"/>
  <c r="E413" i="3"/>
  <c r="B413" i="3"/>
  <c r="U412" i="3"/>
  <c r="K412" i="3"/>
  <c r="E412" i="3"/>
  <c r="B412" i="3"/>
  <c r="U411" i="3"/>
  <c r="K411" i="3"/>
  <c r="E411" i="3"/>
  <c r="B411" i="3"/>
  <c r="U410" i="3"/>
  <c r="K410" i="3"/>
  <c r="E410" i="3"/>
  <c r="B410" i="3"/>
  <c r="U409" i="3"/>
  <c r="K409" i="3"/>
  <c r="E409" i="3"/>
  <c r="B409" i="3"/>
  <c r="U408" i="3"/>
  <c r="K408" i="3"/>
  <c r="E408" i="3"/>
  <c r="B408" i="3"/>
  <c r="U407" i="3"/>
  <c r="K407" i="3"/>
  <c r="E407" i="3"/>
  <c r="B407" i="3"/>
  <c r="U406" i="3"/>
  <c r="K406" i="3"/>
  <c r="E406" i="3"/>
  <c r="B406" i="3"/>
  <c r="U405" i="3"/>
  <c r="K405" i="3"/>
  <c r="E405" i="3"/>
  <c r="B405" i="3"/>
  <c r="U404" i="3"/>
  <c r="K404" i="3"/>
  <c r="E404" i="3"/>
  <c r="B404" i="3"/>
  <c r="U403" i="3"/>
  <c r="K403" i="3"/>
  <c r="E403" i="3"/>
  <c r="B403" i="3"/>
  <c r="U402" i="3"/>
  <c r="K402" i="3"/>
  <c r="E402" i="3"/>
  <c r="B402" i="3"/>
  <c r="U401" i="3"/>
  <c r="K401" i="3"/>
  <c r="E401" i="3"/>
  <c r="B401" i="3"/>
  <c r="U400" i="3"/>
  <c r="K400" i="3"/>
  <c r="E400" i="3"/>
  <c r="B400" i="3"/>
  <c r="U399" i="3"/>
  <c r="K399" i="3"/>
  <c r="E399" i="3"/>
  <c r="B399" i="3"/>
  <c r="U398" i="3"/>
  <c r="K398" i="3"/>
  <c r="E398" i="3"/>
  <c r="B398" i="3"/>
  <c r="U397" i="3"/>
  <c r="K397" i="3"/>
  <c r="E397" i="3"/>
  <c r="B397" i="3"/>
  <c r="U396" i="3"/>
  <c r="K396" i="3"/>
  <c r="E396" i="3"/>
  <c r="B396" i="3"/>
  <c r="U395" i="3"/>
  <c r="K395" i="3"/>
  <c r="E395" i="3"/>
  <c r="B395" i="3"/>
  <c r="U394" i="3"/>
  <c r="K394" i="3"/>
  <c r="E394" i="3"/>
  <c r="B394" i="3"/>
  <c r="U393" i="3"/>
  <c r="K393" i="3"/>
  <c r="E393" i="3"/>
  <c r="B393" i="3"/>
  <c r="U392" i="3"/>
  <c r="K392" i="3"/>
  <c r="E392" i="3"/>
  <c r="B392" i="3"/>
  <c r="U391" i="3"/>
  <c r="K391" i="3"/>
  <c r="E391" i="3"/>
  <c r="B391" i="3"/>
  <c r="U390" i="3"/>
  <c r="K390" i="3"/>
  <c r="E390" i="3"/>
  <c r="B390" i="3"/>
  <c r="U389" i="3"/>
  <c r="K389" i="3"/>
  <c r="E389" i="3"/>
  <c r="B389" i="3"/>
  <c r="U388" i="3"/>
  <c r="K388" i="3"/>
  <c r="E388" i="3"/>
  <c r="B388" i="3"/>
  <c r="U387" i="3"/>
  <c r="K387" i="3"/>
  <c r="E387" i="3"/>
  <c r="B387" i="3"/>
  <c r="U386" i="3"/>
  <c r="K386" i="3"/>
  <c r="E386" i="3"/>
  <c r="B386" i="3"/>
  <c r="U385" i="3"/>
  <c r="K385" i="3"/>
  <c r="E385" i="3"/>
  <c r="B385" i="3"/>
  <c r="U384" i="3"/>
  <c r="K384" i="3"/>
  <c r="E384" i="3"/>
  <c r="B384" i="3"/>
  <c r="U383" i="3"/>
  <c r="K383" i="3"/>
  <c r="E383" i="3"/>
  <c r="B383" i="3"/>
  <c r="U382" i="3"/>
  <c r="K382" i="3"/>
  <c r="E382" i="3"/>
  <c r="B382" i="3"/>
  <c r="U381" i="3"/>
  <c r="K381" i="3"/>
  <c r="E381" i="3"/>
  <c r="B381" i="3"/>
  <c r="U380" i="3"/>
  <c r="K380" i="3"/>
  <c r="E380" i="3"/>
  <c r="B380" i="3"/>
  <c r="U379" i="3"/>
  <c r="K379" i="3"/>
  <c r="E379" i="3"/>
  <c r="B379" i="3"/>
  <c r="U378" i="3"/>
  <c r="K378" i="3"/>
  <c r="E378" i="3"/>
  <c r="B378" i="3"/>
  <c r="U377" i="3"/>
  <c r="K377" i="3"/>
  <c r="E377" i="3"/>
  <c r="B377" i="3"/>
  <c r="U376" i="3"/>
  <c r="K376" i="3"/>
  <c r="E376" i="3"/>
  <c r="B376" i="3"/>
  <c r="U375" i="3"/>
  <c r="K375" i="3"/>
  <c r="E375" i="3"/>
  <c r="B375" i="3"/>
  <c r="U374" i="3"/>
  <c r="K374" i="3"/>
  <c r="E374" i="3"/>
  <c r="B374" i="3"/>
  <c r="U373" i="3"/>
  <c r="K373" i="3"/>
  <c r="E373" i="3"/>
  <c r="B373" i="3"/>
  <c r="U372" i="3"/>
  <c r="K372" i="3"/>
  <c r="E372" i="3"/>
  <c r="B372" i="3"/>
  <c r="U371" i="3"/>
  <c r="K371" i="3"/>
  <c r="E371" i="3"/>
  <c r="B371" i="3"/>
  <c r="U370" i="3"/>
  <c r="K370" i="3"/>
  <c r="E370" i="3"/>
  <c r="B370" i="3"/>
  <c r="U369" i="3"/>
  <c r="K369" i="3"/>
  <c r="E369" i="3"/>
  <c r="B369" i="3"/>
  <c r="U368" i="3"/>
  <c r="K368" i="3"/>
  <c r="E368" i="3"/>
  <c r="B368" i="3"/>
  <c r="U367" i="3"/>
  <c r="K367" i="3"/>
  <c r="E367" i="3"/>
  <c r="B367" i="3"/>
  <c r="U366" i="3"/>
  <c r="K366" i="3"/>
  <c r="E366" i="3"/>
  <c r="B366" i="3"/>
  <c r="U365" i="3"/>
  <c r="K365" i="3"/>
  <c r="E365" i="3"/>
  <c r="B365" i="3"/>
  <c r="U364" i="3"/>
  <c r="K364" i="3"/>
  <c r="E364" i="3"/>
  <c r="B364" i="3"/>
  <c r="U363" i="3"/>
  <c r="K363" i="3"/>
  <c r="E363" i="3"/>
  <c r="B363" i="3"/>
  <c r="U362" i="3"/>
  <c r="K362" i="3"/>
  <c r="E362" i="3"/>
  <c r="B362" i="3"/>
  <c r="U361" i="3"/>
  <c r="K361" i="3"/>
  <c r="E361" i="3"/>
  <c r="B361" i="3"/>
  <c r="U360" i="3"/>
  <c r="K360" i="3"/>
  <c r="E360" i="3"/>
  <c r="B360" i="3"/>
  <c r="U359" i="3"/>
  <c r="K359" i="3"/>
  <c r="E359" i="3"/>
  <c r="B359" i="3"/>
  <c r="U358" i="3"/>
  <c r="K358" i="3"/>
  <c r="E358" i="3"/>
  <c r="B358" i="3"/>
  <c r="U357" i="3"/>
  <c r="K357" i="3"/>
  <c r="E357" i="3"/>
  <c r="B357" i="3"/>
  <c r="U356" i="3"/>
  <c r="K356" i="3"/>
  <c r="E356" i="3"/>
  <c r="B356" i="3"/>
  <c r="U355" i="3"/>
  <c r="K355" i="3"/>
  <c r="E355" i="3"/>
  <c r="B355" i="3"/>
  <c r="U354" i="3"/>
  <c r="K354" i="3"/>
  <c r="E354" i="3"/>
  <c r="B354" i="3"/>
  <c r="U353" i="3"/>
  <c r="K353" i="3"/>
  <c r="E353" i="3"/>
  <c r="B353" i="3"/>
  <c r="U352" i="3"/>
  <c r="K352" i="3"/>
  <c r="E352" i="3"/>
  <c r="B352" i="3"/>
  <c r="U351" i="3"/>
  <c r="K351" i="3"/>
  <c r="E351" i="3"/>
  <c r="B351" i="3"/>
  <c r="U350" i="3"/>
  <c r="K350" i="3"/>
  <c r="E350" i="3"/>
  <c r="B350" i="3"/>
  <c r="U349" i="3"/>
  <c r="K349" i="3"/>
  <c r="E349" i="3"/>
  <c r="B349" i="3"/>
  <c r="U348" i="3"/>
  <c r="K348" i="3"/>
  <c r="E348" i="3"/>
  <c r="B348" i="3"/>
  <c r="U347" i="3"/>
  <c r="K347" i="3"/>
  <c r="E347" i="3"/>
  <c r="B347" i="3"/>
  <c r="U346" i="3"/>
  <c r="K346" i="3"/>
  <c r="E346" i="3"/>
  <c r="B346" i="3"/>
  <c r="U345" i="3"/>
  <c r="K345" i="3"/>
  <c r="E345" i="3"/>
  <c r="B345" i="3"/>
  <c r="U344" i="3"/>
  <c r="K344" i="3"/>
  <c r="E344" i="3"/>
  <c r="B344" i="3"/>
  <c r="U343" i="3"/>
  <c r="K343" i="3"/>
  <c r="E343" i="3"/>
  <c r="B343" i="3"/>
  <c r="U342" i="3"/>
  <c r="K342" i="3"/>
  <c r="E342" i="3"/>
  <c r="B342" i="3"/>
  <c r="U341" i="3"/>
  <c r="K341" i="3"/>
  <c r="E341" i="3"/>
  <c r="B341" i="3"/>
  <c r="U340" i="3"/>
  <c r="K340" i="3"/>
  <c r="E340" i="3"/>
  <c r="B340" i="3"/>
  <c r="U339" i="3"/>
  <c r="K339" i="3"/>
  <c r="E339" i="3"/>
  <c r="B339" i="3"/>
  <c r="U338" i="3"/>
  <c r="K338" i="3"/>
  <c r="E338" i="3"/>
  <c r="B338" i="3"/>
  <c r="U337" i="3"/>
  <c r="K337" i="3"/>
  <c r="E337" i="3"/>
  <c r="B337" i="3"/>
  <c r="U336" i="3"/>
  <c r="K336" i="3"/>
  <c r="E336" i="3"/>
  <c r="B336" i="3"/>
  <c r="U335" i="3"/>
  <c r="K335" i="3"/>
  <c r="E335" i="3"/>
  <c r="B335" i="3"/>
  <c r="U334" i="3"/>
  <c r="K334" i="3"/>
  <c r="E334" i="3"/>
  <c r="B334" i="3"/>
  <c r="U333" i="3"/>
  <c r="K333" i="3"/>
  <c r="E333" i="3"/>
  <c r="B333" i="3"/>
  <c r="U332" i="3"/>
  <c r="K332" i="3"/>
  <c r="E332" i="3"/>
  <c r="B332" i="3"/>
  <c r="U331" i="3"/>
  <c r="K331" i="3"/>
  <c r="E331" i="3"/>
  <c r="B331" i="3"/>
  <c r="U330" i="3"/>
  <c r="K330" i="3"/>
  <c r="E330" i="3"/>
  <c r="B330" i="3"/>
  <c r="U329" i="3"/>
  <c r="K329" i="3"/>
  <c r="E329" i="3"/>
  <c r="B329" i="3"/>
  <c r="U328" i="3"/>
  <c r="K328" i="3"/>
  <c r="E328" i="3"/>
  <c r="B328" i="3"/>
  <c r="U327" i="3"/>
  <c r="K327" i="3"/>
  <c r="E327" i="3"/>
  <c r="B327" i="3"/>
  <c r="U326" i="3"/>
  <c r="K326" i="3"/>
  <c r="E326" i="3"/>
  <c r="B326" i="3"/>
  <c r="U325" i="3"/>
  <c r="K325" i="3"/>
  <c r="E325" i="3"/>
  <c r="B325" i="3"/>
  <c r="U324" i="3"/>
  <c r="K324" i="3"/>
  <c r="E324" i="3"/>
  <c r="B324" i="3"/>
  <c r="U323" i="3"/>
  <c r="K323" i="3"/>
  <c r="E323" i="3"/>
  <c r="B323" i="3"/>
  <c r="U322" i="3"/>
  <c r="K322" i="3"/>
  <c r="E322" i="3"/>
  <c r="B322" i="3"/>
  <c r="U321" i="3"/>
  <c r="K321" i="3"/>
  <c r="E321" i="3"/>
  <c r="B321" i="3"/>
  <c r="U320" i="3"/>
  <c r="K320" i="3"/>
  <c r="E320" i="3"/>
  <c r="B320" i="3"/>
  <c r="U319" i="3"/>
  <c r="K319" i="3"/>
  <c r="E319" i="3"/>
  <c r="B319" i="3"/>
  <c r="U318" i="3"/>
  <c r="K318" i="3"/>
  <c r="E318" i="3"/>
  <c r="B318" i="3"/>
  <c r="U317" i="3"/>
  <c r="K317" i="3"/>
  <c r="E317" i="3"/>
  <c r="B317" i="3"/>
  <c r="U316" i="3"/>
  <c r="K316" i="3"/>
  <c r="E316" i="3"/>
  <c r="B316" i="3"/>
  <c r="U315" i="3"/>
  <c r="K315" i="3"/>
  <c r="E315" i="3"/>
  <c r="B315" i="3"/>
  <c r="U314" i="3"/>
  <c r="K314" i="3"/>
  <c r="E314" i="3"/>
  <c r="B314" i="3"/>
  <c r="U313" i="3"/>
  <c r="K313" i="3"/>
  <c r="E313" i="3"/>
  <c r="B313" i="3"/>
  <c r="K312" i="3"/>
  <c r="E312" i="3"/>
  <c r="B312" i="3"/>
  <c r="U311" i="3"/>
  <c r="K311" i="3"/>
  <c r="E311" i="3"/>
  <c r="B311" i="3"/>
  <c r="U310" i="3"/>
  <c r="K310" i="3"/>
  <c r="E310" i="3"/>
  <c r="B310" i="3"/>
  <c r="U309" i="3"/>
  <c r="K309" i="3"/>
  <c r="E309" i="3"/>
  <c r="B309" i="3"/>
  <c r="U308" i="3"/>
  <c r="K308" i="3"/>
  <c r="E308" i="3"/>
  <c r="B308" i="3"/>
  <c r="U307" i="3"/>
  <c r="K307" i="3"/>
  <c r="E307" i="3"/>
  <c r="B307" i="3"/>
  <c r="U306" i="3"/>
  <c r="K306" i="3"/>
  <c r="E306" i="3"/>
  <c r="B306" i="3"/>
  <c r="U305" i="3"/>
  <c r="K305" i="3"/>
  <c r="E305" i="3"/>
  <c r="B305" i="3"/>
  <c r="U304" i="3"/>
  <c r="K304" i="3"/>
  <c r="E304" i="3"/>
  <c r="B304" i="3"/>
  <c r="U303" i="3"/>
  <c r="K303" i="3"/>
  <c r="E303" i="3"/>
  <c r="B303" i="3"/>
  <c r="U302" i="3"/>
  <c r="K302" i="3"/>
  <c r="E302" i="3"/>
  <c r="B302" i="3"/>
  <c r="U301" i="3"/>
  <c r="K301" i="3"/>
  <c r="E301" i="3"/>
  <c r="B301" i="3"/>
  <c r="U300" i="3"/>
  <c r="K300" i="3"/>
  <c r="E300" i="3"/>
  <c r="B300" i="3"/>
  <c r="U299" i="3"/>
  <c r="K299" i="3"/>
  <c r="E299" i="3"/>
  <c r="B299" i="3"/>
  <c r="U298" i="3"/>
  <c r="K298" i="3"/>
  <c r="E298" i="3"/>
  <c r="B298" i="3"/>
  <c r="U297" i="3"/>
  <c r="K297" i="3"/>
  <c r="E297" i="3"/>
  <c r="B297" i="3"/>
  <c r="U296" i="3"/>
  <c r="K296" i="3"/>
  <c r="E296" i="3"/>
  <c r="B296" i="3"/>
  <c r="U295" i="3"/>
  <c r="K295" i="3"/>
  <c r="E295" i="3"/>
  <c r="B295" i="3"/>
  <c r="U294" i="3"/>
  <c r="K294" i="3"/>
  <c r="E294" i="3"/>
  <c r="B294" i="3"/>
  <c r="U293" i="3"/>
  <c r="K293" i="3"/>
  <c r="E293" i="3"/>
  <c r="B293" i="3"/>
  <c r="U292" i="3"/>
  <c r="K292" i="3"/>
  <c r="E292" i="3"/>
  <c r="B292" i="3"/>
  <c r="U291" i="3"/>
  <c r="K291" i="3"/>
  <c r="E291" i="3"/>
  <c r="B291" i="3"/>
  <c r="U290" i="3"/>
  <c r="K290" i="3"/>
  <c r="E290" i="3"/>
  <c r="B290" i="3"/>
  <c r="U289" i="3"/>
  <c r="K289" i="3"/>
  <c r="E289" i="3"/>
  <c r="B289" i="3"/>
  <c r="U288" i="3"/>
  <c r="K288" i="3"/>
  <c r="E288" i="3"/>
  <c r="B288" i="3"/>
  <c r="K287" i="3"/>
  <c r="E287" i="3"/>
  <c r="B287" i="3"/>
  <c r="U286" i="3"/>
  <c r="K286" i="3"/>
  <c r="E286" i="3"/>
  <c r="B286" i="3"/>
  <c r="U285" i="3"/>
  <c r="K285" i="3"/>
  <c r="E285" i="3"/>
  <c r="B285" i="3"/>
  <c r="U284" i="3"/>
  <c r="K284" i="3"/>
  <c r="E284" i="3"/>
  <c r="B284" i="3"/>
  <c r="U283" i="3"/>
  <c r="K283" i="3"/>
  <c r="E283" i="3"/>
  <c r="B283" i="3"/>
  <c r="U282" i="3"/>
  <c r="K282" i="3"/>
  <c r="E282" i="3"/>
  <c r="B282" i="3"/>
  <c r="U281" i="3"/>
  <c r="K281" i="3"/>
  <c r="E281" i="3"/>
  <c r="B281" i="3"/>
  <c r="U280" i="3"/>
  <c r="K280" i="3"/>
  <c r="E280" i="3"/>
  <c r="B280" i="3"/>
  <c r="U279" i="3"/>
  <c r="K279" i="3"/>
  <c r="E279" i="3"/>
  <c r="B279" i="3"/>
  <c r="U278" i="3"/>
  <c r="K278" i="3"/>
  <c r="E278" i="3"/>
  <c r="B278" i="3"/>
  <c r="U277" i="3"/>
  <c r="K277" i="3"/>
  <c r="E277" i="3"/>
  <c r="B277" i="3"/>
  <c r="U276" i="3"/>
  <c r="K276" i="3"/>
  <c r="E276" i="3"/>
  <c r="B276" i="3"/>
  <c r="U275" i="3"/>
  <c r="K275" i="3"/>
  <c r="E275" i="3"/>
  <c r="B275" i="3"/>
  <c r="U274" i="3"/>
  <c r="K274" i="3"/>
  <c r="E274" i="3"/>
  <c r="B274" i="3"/>
  <c r="U273" i="3"/>
  <c r="K273" i="3"/>
  <c r="E273" i="3"/>
  <c r="B273" i="3"/>
  <c r="U272" i="3"/>
  <c r="K272" i="3"/>
  <c r="E272" i="3"/>
  <c r="B272" i="3"/>
  <c r="U271" i="3"/>
  <c r="K271" i="3"/>
  <c r="E271" i="3"/>
  <c r="B271" i="3"/>
  <c r="U270" i="3"/>
  <c r="K270" i="3"/>
  <c r="E270" i="3"/>
  <c r="B270" i="3"/>
  <c r="U269" i="3"/>
  <c r="K269" i="3"/>
  <c r="E269" i="3"/>
  <c r="B269" i="3"/>
  <c r="U268" i="3"/>
  <c r="K268" i="3"/>
  <c r="E268" i="3"/>
  <c r="B268" i="3"/>
  <c r="U267" i="3"/>
  <c r="K267" i="3"/>
  <c r="E267" i="3"/>
  <c r="B267" i="3"/>
  <c r="U266" i="3"/>
  <c r="K266" i="3"/>
  <c r="E266" i="3"/>
  <c r="B266" i="3"/>
  <c r="U265" i="3"/>
  <c r="K265" i="3"/>
  <c r="E265" i="3"/>
  <c r="B265" i="3"/>
  <c r="U264" i="3"/>
  <c r="K264" i="3"/>
  <c r="E264" i="3"/>
  <c r="B264" i="3"/>
  <c r="U263" i="3"/>
  <c r="K263" i="3"/>
  <c r="E263" i="3"/>
  <c r="B263" i="3"/>
  <c r="U262" i="3"/>
  <c r="K262" i="3"/>
  <c r="E262" i="3"/>
  <c r="B262" i="3"/>
  <c r="U261" i="3"/>
  <c r="K261" i="3"/>
  <c r="E261" i="3"/>
  <c r="B261" i="3"/>
  <c r="U260" i="3"/>
  <c r="K260" i="3"/>
  <c r="E260" i="3"/>
  <c r="B260" i="3"/>
  <c r="U259" i="3"/>
  <c r="K259" i="3"/>
  <c r="E259" i="3"/>
  <c r="B259" i="3"/>
  <c r="U258" i="3"/>
  <c r="K258" i="3"/>
  <c r="E258" i="3"/>
  <c r="B258" i="3"/>
  <c r="U257" i="3"/>
  <c r="K257" i="3"/>
  <c r="E257" i="3"/>
  <c r="B257" i="3"/>
  <c r="U256" i="3"/>
  <c r="K256" i="3"/>
  <c r="E256" i="3"/>
  <c r="B256" i="3"/>
  <c r="U255" i="3"/>
  <c r="K255" i="3"/>
  <c r="E255" i="3"/>
  <c r="B255" i="3"/>
  <c r="U254" i="3"/>
  <c r="K254" i="3"/>
  <c r="E254" i="3"/>
  <c r="B254" i="3"/>
  <c r="U253" i="3"/>
  <c r="K253" i="3"/>
  <c r="E253" i="3"/>
  <c r="B253" i="3"/>
  <c r="U252" i="3"/>
  <c r="K252" i="3"/>
  <c r="E252" i="3"/>
  <c r="B252" i="3"/>
  <c r="U251" i="3"/>
  <c r="K251" i="3"/>
  <c r="E251" i="3"/>
  <c r="B251" i="3"/>
  <c r="U250" i="3"/>
  <c r="K250" i="3"/>
  <c r="E250" i="3"/>
  <c r="B250" i="3"/>
  <c r="U249" i="3"/>
  <c r="K249" i="3"/>
  <c r="E249" i="3"/>
  <c r="B249" i="3"/>
  <c r="U248" i="3"/>
  <c r="K248" i="3"/>
  <c r="E248" i="3"/>
  <c r="B248" i="3"/>
  <c r="U247" i="3"/>
  <c r="K247" i="3"/>
  <c r="E247" i="3"/>
  <c r="B247" i="3"/>
  <c r="U246" i="3"/>
  <c r="K246" i="3"/>
  <c r="E246" i="3"/>
  <c r="B246" i="3"/>
  <c r="U245" i="3"/>
  <c r="K245" i="3"/>
  <c r="E245" i="3"/>
  <c r="B245" i="3"/>
  <c r="U244" i="3"/>
  <c r="K244" i="3"/>
  <c r="E244" i="3"/>
  <c r="B244" i="3"/>
  <c r="U243" i="3"/>
  <c r="K243" i="3"/>
  <c r="E243" i="3"/>
  <c r="B243" i="3"/>
  <c r="U242" i="3"/>
  <c r="K242" i="3"/>
  <c r="E242" i="3"/>
  <c r="B242" i="3"/>
  <c r="U241" i="3"/>
  <c r="K241" i="3"/>
  <c r="E241" i="3"/>
  <c r="B241" i="3"/>
  <c r="U240" i="3"/>
  <c r="K240" i="3"/>
  <c r="E240" i="3"/>
  <c r="B240" i="3"/>
  <c r="U239" i="3"/>
  <c r="K239" i="3"/>
  <c r="E239" i="3"/>
  <c r="B239" i="3"/>
  <c r="U238" i="3"/>
  <c r="K238" i="3"/>
  <c r="E238" i="3"/>
  <c r="B238" i="3"/>
  <c r="U237" i="3"/>
  <c r="K237" i="3"/>
  <c r="E237" i="3"/>
  <c r="B237" i="3"/>
  <c r="U236" i="3"/>
  <c r="K236" i="3"/>
  <c r="E236" i="3"/>
  <c r="B236" i="3"/>
  <c r="U235" i="3"/>
  <c r="K235" i="3"/>
  <c r="E235" i="3"/>
  <c r="B235" i="3"/>
  <c r="U234" i="3"/>
  <c r="K234" i="3"/>
  <c r="E234" i="3"/>
  <c r="B234" i="3"/>
  <c r="U233" i="3"/>
  <c r="K233" i="3"/>
  <c r="E233" i="3"/>
  <c r="B233" i="3"/>
  <c r="U232" i="3"/>
  <c r="K232" i="3"/>
  <c r="E232" i="3"/>
  <c r="B232" i="3"/>
  <c r="U231" i="3"/>
  <c r="K231" i="3"/>
  <c r="E231" i="3"/>
  <c r="B231" i="3"/>
  <c r="U230" i="3"/>
  <c r="K230" i="3"/>
  <c r="E230" i="3"/>
  <c r="B230" i="3"/>
  <c r="U229" i="3"/>
  <c r="K229" i="3"/>
  <c r="E229" i="3"/>
  <c r="B229" i="3"/>
  <c r="U228" i="3"/>
  <c r="K228" i="3"/>
  <c r="E228" i="3"/>
  <c r="B228" i="3"/>
  <c r="U227" i="3"/>
  <c r="K227" i="3"/>
  <c r="E227" i="3"/>
  <c r="B227" i="3"/>
  <c r="U226" i="3"/>
  <c r="K226" i="3"/>
  <c r="E226" i="3"/>
  <c r="B226" i="3"/>
  <c r="U225" i="3"/>
  <c r="K225" i="3"/>
  <c r="E225" i="3"/>
  <c r="B225" i="3"/>
  <c r="U224" i="3"/>
  <c r="K224" i="3"/>
  <c r="E224" i="3"/>
  <c r="B224" i="3"/>
  <c r="U223" i="3"/>
  <c r="K223" i="3"/>
  <c r="E223" i="3"/>
  <c r="B223" i="3"/>
  <c r="U222" i="3"/>
  <c r="K222" i="3"/>
  <c r="E222" i="3"/>
  <c r="B222" i="3"/>
  <c r="U221" i="3"/>
  <c r="K221" i="3"/>
  <c r="E221" i="3"/>
  <c r="B221" i="3"/>
  <c r="U220" i="3"/>
  <c r="K220" i="3"/>
  <c r="E220" i="3"/>
  <c r="B220" i="3"/>
  <c r="U219" i="3"/>
  <c r="K219" i="3"/>
  <c r="E219" i="3"/>
  <c r="B219" i="3"/>
  <c r="U218" i="3"/>
  <c r="K218" i="3"/>
  <c r="E218" i="3"/>
  <c r="B218" i="3"/>
  <c r="U217" i="3"/>
  <c r="K217" i="3"/>
  <c r="E217" i="3"/>
  <c r="B217" i="3"/>
  <c r="U216" i="3"/>
  <c r="K216" i="3"/>
  <c r="E216" i="3"/>
  <c r="B216" i="3"/>
  <c r="U215" i="3"/>
  <c r="K215" i="3"/>
  <c r="E215" i="3"/>
  <c r="B215" i="3"/>
  <c r="U214" i="3"/>
  <c r="K214" i="3"/>
  <c r="E214" i="3"/>
  <c r="B214" i="3"/>
  <c r="U213" i="3"/>
  <c r="K213" i="3"/>
  <c r="E213" i="3"/>
  <c r="B213" i="3"/>
  <c r="U212" i="3"/>
  <c r="K212" i="3"/>
  <c r="E212" i="3"/>
  <c r="B212" i="3"/>
  <c r="U211" i="3"/>
  <c r="K211" i="3"/>
  <c r="E211" i="3"/>
  <c r="B211" i="3"/>
  <c r="U210" i="3"/>
  <c r="K210" i="3"/>
  <c r="E210" i="3"/>
  <c r="B210" i="3"/>
  <c r="U209" i="3"/>
  <c r="K209" i="3"/>
  <c r="E209" i="3"/>
  <c r="B209" i="3"/>
  <c r="U208" i="3"/>
  <c r="K208" i="3"/>
  <c r="E208" i="3"/>
  <c r="B208" i="3"/>
  <c r="U207" i="3"/>
  <c r="K207" i="3"/>
  <c r="E207" i="3"/>
  <c r="B207" i="3"/>
  <c r="U206" i="3"/>
  <c r="K206" i="3"/>
  <c r="E206" i="3"/>
  <c r="B206" i="3"/>
  <c r="U205" i="3"/>
  <c r="K205" i="3"/>
  <c r="E205" i="3"/>
  <c r="B205" i="3"/>
  <c r="U204" i="3"/>
  <c r="K204" i="3"/>
  <c r="E204" i="3"/>
  <c r="B204" i="3"/>
  <c r="U203" i="3"/>
  <c r="K203" i="3"/>
  <c r="E203" i="3"/>
  <c r="B203" i="3"/>
  <c r="U202" i="3"/>
  <c r="K202" i="3"/>
  <c r="E202" i="3"/>
  <c r="B202" i="3"/>
  <c r="U201" i="3"/>
  <c r="K201" i="3"/>
  <c r="E201" i="3"/>
  <c r="B201" i="3"/>
  <c r="U200" i="3"/>
  <c r="K200" i="3"/>
  <c r="E200" i="3"/>
  <c r="B200" i="3"/>
  <c r="U199" i="3"/>
  <c r="K199" i="3"/>
  <c r="E199" i="3"/>
  <c r="B199" i="3"/>
  <c r="U198" i="3"/>
  <c r="K198" i="3"/>
  <c r="E198" i="3"/>
  <c r="B198" i="3"/>
  <c r="U197" i="3"/>
  <c r="K197" i="3"/>
  <c r="E197" i="3"/>
  <c r="B197" i="3"/>
  <c r="U196" i="3"/>
  <c r="K196" i="3"/>
  <c r="E196" i="3"/>
  <c r="B196" i="3"/>
  <c r="U195" i="3"/>
  <c r="K195" i="3"/>
  <c r="E195" i="3"/>
  <c r="B195" i="3"/>
  <c r="U194" i="3"/>
  <c r="K194" i="3"/>
  <c r="E194" i="3"/>
  <c r="B194" i="3"/>
  <c r="U193" i="3"/>
  <c r="K193" i="3"/>
  <c r="E193" i="3"/>
  <c r="B193" i="3"/>
  <c r="U192" i="3"/>
  <c r="K192" i="3"/>
  <c r="E192" i="3"/>
  <c r="B192" i="3"/>
  <c r="U191" i="3"/>
  <c r="K191" i="3"/>
  <c r="E191" i="3"/>
  <c r="B191" i="3"/>
  <c r="U190" i="3"/>
  <c r="K190" i="3"/>
  <c r="E190" i="3"/>
  <c r="B190" i="3"/>
  <c r="U189" i="3"/>
  <c r="K189" i="3"/>
  <c r="E189" i="3"/>
  <c r="B189" i="3"/>
  <c r="U188" i="3"/>
  <c r="K188" i="3"/>
  <c r="E188" i="3"/>
  <c r="B188" i="3"/>
  <c r="U187" i="3"/>
  <c r="K187" i="3"/>
  <c r="E187" i="3"/>
  <c r="B187" i="3"/>
  <c r="U186" i="3"/>
  <c r="K186" i="3"/>
  <c r="E186" i="3"/>
  <c r="B186" i="3"/>
  <c r="U185" i="3"/>
  <c r="K185" i="3"/>
  <c r="E185" i="3"/>
  <c r="B185" i="3"/>
  <c r="U184" i="3"/>
  <c r="K184" i="3"/>
  <c r="E184" i="3"/>
  <c r="B184" i="3"/>
  <c r="U183" i="3"/>
  <c r="K183" i="3"/>
  <c r="E183" i="3"/>
  <c r="B183" i="3"/>
  <c r="U182" i="3"/>
  <c r="K182" i="3"/>
  <c r="E182" i="3"/>
  <c r="B182" i="3"/>
  <c r="U181" i="3"/>
  <c r="K181" i="3"/>
  <c r="E181" i="3"/>
  <c r="B181" i="3"/>
  <c r="U180" i="3"/>
  <c r="K180" i="3"/>
  <c r="E180" i="3"/>
  <c r="B180" i="3"/>
  <c r="U179" i="3"/>
  <c r="K179" i="3"/>
  <c r="E179" i="3"/>
  <c r="B179" i="3"/>
  <c r="U178" i="3"/>
  <c r="K178" i="3"/>
  <c r="E178" i="3"/>
  <c r="B178" i="3"/>
  <c r="U177" i="3"/>
  <c r="K177" i="3"/>
  <c r="E177" i="3"/>
  <c r="B177" i="3"/>
  <c r="U176" i="3"/>
  <c r="K176" i="3"/>
  <c r="E176" i="3"/>
  <c r="B176" i="3"/>
  <c r="U175" i="3"/>
  <c r="K175" i="3"/>
  <c r="E175" i="3"/>
  <c r="B175" i="3"/>
  <c r="U174" i="3"/>
  <c r="K174" i="3"/>
  <c r="E174" i="3"/>
  <c r="B174" i="3"/>
  <c r="U173" i="3"/>
  <c r="K173" i="3"/>
  <c r="E173" i="3"/>
  <c r="B173" i="3"/>
  <c r="U172" i="3"/>
  <c r="K172" i="3"/>
  <c r="E172" i="3"/>
  <c r="B172" i="3"/>
  <c r="U171" i="3"/>
  <c r="K171" i="3"/>
  <c r="E171" i="3"/>
  <c r="B171" i="3"/>
  <c r="U170" i="3"/>
  <c r="K170" i="3"/>
  <c r="E170" i="3"/>
  <c r="B170" i="3"/>
  <c r="U169" i="3"/>
  <c r="K169" i="3"/>
  <c r="E169" i="3"/>
  <c r="B169" i="3"/>
  <c r="U168" i="3"/>
  <c r="K168" i="3"/>
  <c r="E168" i="3"/>
  <c r="B168" i="3"/>
  <c r="U167" i="3"/>
  <c r="K167" i="3"/>
  <c r="E167" i="3"/>
  <c r="B167" i="3"/>
  <c r="U166" i="3"/>
  <c r="K166" i="3"/>
  <c r="E166" i="3"/>
  <c r="B166" i="3"/>
  <c r="U165" i="3"/>
  <c r="K165" i="3"/>
  <c r="E165" i="3"/>
  <c r="B165" i="3"/>
  <c r="U164" i="3"/>
  <c r="K164" i="3"/>
  <c r="E164" i="3"/>
  <c r="B164" i="3"/>
  <c r="U163" i="3"/>
  <c r="K163" i="3"/>
  <c r="E163" i="3"/>
  <c r="B163" i="3"/>
  <c r="U162" i="3"/>
  <c r="K162" i="3"/>
  <c r="E162" i="3"/>
  <c r="B162" i="3"/>
  <c r="U161" i="3"/>
  <c r="K161" i="3"/>
  <c r="E161" i="3"/>
  <c r="B161" i="3"/>
  <c r="U160" i="3"/>
  <c r="K160" i="3"/>
  <c r="E160" i="3"/>
  <c r="B160" i="3"/>
  <c r="U159" i="3"/>
  <c r="K159" i="3"/>
  <c r="H159" i="3"/>
  <c r="E159" i="3"/>
  <c r="B159" i="3"/>
  <c r="U158" i="3"/>
  <c r="K158" i="3"/>
  <c r="E158" i="3"/>
  <c r="B158" i="3"/>
  <c r="U157" i="3"/>
  <c r="K157" i="3"/>
  <c r="E157" i="3"/>
  <c r="B157" i="3"/>
  <c r="U156" i="3"/>
  <c r="K156" i="3"/>
  <c r="E156" i="3"/>
  <c r="B156" i="3"/>
  <c r="U155" i="3"/>
  <c r="K155" i="3"/>
  <c r="E155" i="3"/>
  <c r="B155" i="3"/>
  <c r="U154" i="3"/>
  <c r="K154" i="3"/>
  <c r="E154" i="3"/>
  <c r="B154" i="3"/>
  <c r="U153" i="3"/>
  <c r="K153" i="3"/>
  <c r="E153" i="3"/>
  <c r="B153" i="3"/>
  <c r="U152" i="3"/>
  <c r="K152" i="3"/>
  <c r="E152" i="3"/>
  <c r="B152" i="3"/>
  <c r="U151" i="3"/>
  <c r="K151" i="3"/>
  <c r="E151" i="3"/>
  <c r="B151" i="3"/>
  <c r="U150" i="3"/>
  <c r="K150" i="3"/>
  <c r="E150" i="3"/>
  <c r="B150" i="3"/>
  <c r="U149" i="3"/>
  <c r="K149" i="3"/>
  <c r="E149" i="3"/>
  <c r="B149" i="3"/>
  <c r="U148" i="3"/>
  <c r="K148" i="3"/>
  <c r="E148" i="3"/>
  <c r="B148" i="3"/>
  <c r="U147" i="3"/>
  <c r="K147" i="3"/>
  <c r="E147" i="3"/>
  <c r="B147" i="3"/>
  <c r="U146" i="3"/>
  <c r="K146" i="3"/>
  <c r="E146" i="3"/>
  <c r="B146" i="3"/>
  <c r="U145" i="3"/>
  <c r="K145" i="3"/>
  <c r="E145" i="3"/>
  <c r="B145" i="3"/>
  <c r="U144" i="3"/>
  <c r="K144" i="3"/>
  <c r="E144" i="3"/>
  <c r="B144" i="3"/>
  <c r="U143" i="3"/>
  <c r="K143" i="3"/>
  <c r="E143" i="3"/>
  <c r="B143" i="3"/>
  <c r="U142" i="3"/>
  <c r="K142" i="3"/>
  <c r="E142" i="3"/>
  <c r="B142" i="3"/>
  <c r="U141" i="3"/>
  <c r="K141" i="3"/>
  <c r="E141" i="3"/>
  <c r="B141" i="3"/>
  <c r="U140" i="3"/>
  <c r="K140" i="3"/>
  <c r="E140" i="3"/>
  <c r="B140" i="3"/>
  <c r="U139" i="3"/>
  <c r="K139" i="3"/>
  <c r="E139" i="3"/>
  <c r="B139" i="3"/>
  <c r="U138" i="3"/>
  <c r="K138" i="3"/>
  <c r="E138" i="3"/>
  <c r="B138" i="3"/>
  <c r="U137" i="3"/>
  <c r="K137" i="3"/>
  <c r="E137" i="3"/>
  <c r="B137" i="3"/>
  <c r="U136" i="3"/>
  <c r="K136" i="3"/>
  <c r="E136" i="3"/>
  <c r="B136" i="3"/>
  <c r="U135" i="3"/>
  <c r="K135" i="3"/>
  <c r="E135" i="3"/>
  <c r="B135" i="3"/>
  <c r="U134" i="3"/>
  <c r="K134" i="3"/>
  <c r="E134" i="3"/>
  <c r="B134" i="3"/>
  <c r="U133" i="3"/>
  <c r="K133" i="3"/>
  <c r="E133" i="3"/>
  <c r="B133" i="3"/>
  <c r="U132" i="3"/>
  <c r="K132" i="3"/>
  <c r="E132" i="3"/>
  <c r="B132" i="3"/>
  <c r="U131" i="3"/>
  <c r="K131" i="3"/>
  <c r="E131" i="3"/>
  <c r="B131" i="3"/>
  <c r="U130" i="3"/>
  <c r="K130" i="3"/>
  <c r="E130" i="3"/>
  <c r="B130" i="3"/>
  <c r="U129" i="3"/>
  <c r="K129" i="3"/>
  <c r="E129" i="3"/>
  <c r="B129" i="3"/>
  <c r="U128" i="3"/>
  <c r="K128" i="3"/>
  <c r="E128" i="3"/>
  <c r="B128" i="3"/>
  <c r="U127" i="3"/>
  <c r="K127" i="3"/>
  <c r="E127" i="3"/>
  <c r="B127" i="3"/>
  <c r="U126" i="3"/>
  <c r="K126" i="3"/>
  <c r="E126" i="3"/>
  <c r="B126" i="3"/>
  <c r="U125" i="3"/>
  <c r="K125" i="3"/>
  <c r="E125" i="3"/>
  <c r="B125" i="3"/>
  <c r="U124" i="3"/>
  <c r="K124" i="3"/>
  <c r="E124" i="3"/>
  <c r="B124" i="3"/>
  <c r="U123" i="3"/>
  <c r="K123" i="3"/>
  <c r="E123" i="3"/>
  <c r="B123" i="3"/>
  <c r="U122" i="3"/>
  <c r="K122" i="3"/>
  <c r="E122" i="3"/>
  <c r="B122" i="3"/>
  <c r="U121" i="3"/>
  <c r="K121" i="3"/>
  <c r="E121" i="3"/>
  <c r="B121" i="3"/>
  <c r="U120" i="3"/>
  <c r="K120" i="3"/>
  <c r="E120" i="3"/>
  <c r="B120" i="3"/>
  <c r="U119" i="3"/>
  <c r="K119" i="3"/>
  <c r="E119" i="3"/>
  <c r="B119" i="3"/>
  <c r="U118" i="3"/>
  <c r="K118" i="3"/>
  <c r="E118" i="3"/>
  <c r="B118" i="3"/>
  <c r="U117" i="3"/>
  <c r="K117" i="3"/>
  <c r="E117" i="3"/>
  <c r="B117" i="3"/>
  <c r="U116" i="3"/>
  <c r="K116" i="3"/>
  <c r="E116" i="3"/>
  <c r="B116" i="3"/>
  <c r="U115" i="3"/>
  <c r="K115" i="3"/>
  <c r="E115" i="3"/>
  <c r="B115" i="3"/>
  <c r="U114" i="3"/>
  <c r="K114" i="3"/>
  <c r="E114" i="3"/>
  <c r="B114" i="3"/>
  <c r="U113" i="3"/>
  <c r="K113" i="3"/>
  <c r="E113" i="3"/>
  <c r="B113" i="3"/>
  <c r="U112" i="3"/>
  <c r="K112" i="3"/>
  <c r="E112" i="3"/>
  <c r="B112" i="3"/>
  <c r="U111" i="3"/>
  <c r="K111" i="3"/>
  <c r="E111" i="3"/>
  <c r="B111" i="3"/>
  <c r="U110" i="3"/>
  <c r="K110" i="3"/>
  <c r="E110" i="3"/>
  <c r="B110" i="3"/>
  <c r="U109" i="3"/>
  <c r="K109" i="3"/>
  <c r="E109" i="3"/>
  <c r="B109" i="3"/>
  <c r="U108" i="3"/>
  <c r="K108" i="3"/>
  <c r="E108" i="3"/>
  <c r="B108" i="3"/>
  <c r="U107" i="3"/>
  <c r="K107" i="3"/>
  <c r="E107" i="3"/>
  <c r="B107" i="3"/>
  <c r="K106" i="3"/>
  <c r="E106" i="3"/>
  <c r="B106" i="3"/>
  <c r="U105" i="3"/>
  <c r="K105" i="3"/>
  <c r="E105" i="3"/>
  <c r="B105" i="3"/>
  <c r="U104" i="3"/>
  <c r="K104" i="3"/>
  <c r="E104" i="3"/>
  <c r="B104" i="3"/>
  <c r="U103" i="3"/>
  <c r="K103" i="3"/>
  <c r="E103" i="3"/>
  <c r="B103" i="3"/>
  <c r="U102" i="3"/>
  <c r="K102" i="3"/>
  <c r="E102" i="3"/>
  <c r="B102" i="3"/>
  <c r="U101" i="3"/>
  <c r="K101" i="3"/>
  <c r="E101" i="3"/>
  <c r="B101" i="3"/>
  <c r="U100" i="3"/>
  <c r="K100" i="3"/>
  <c r="E100" i="3"/>
  <c r="B100" i="3"/>
  <c r="U99" i="3"/>
  <c r="K99" i="3"/>
  <c r="E99" i="3"/>
  <c r="B99" i="3"/>
  <c r="U98" i="3"/>
  <c r="K98" i="3"/>
  <c r="E98" i="3"/>
  <c r="B98" i="3"/>
  <c r="U97" i="3"/>
  <c r="K97" i="3"/>
  <c r="E97" i="3"/>
  <c r="B97" i="3"/>
  <c r="U96" i="3"/>
  <c r="K96" i="3"/>
  <c r="E96" i="3"/>
  <c r="B96" i="3"/>
  <c r="U95" i="3"/>
  <c r="K95" i="3"/>
  <c r="E95" i="3"/>
  <c r="B95" i="3"/>
  <c r="U94" i="3"/>
  <c r="K94" i="3"/>
  <c r="E94" i="3"/>
  <c r="B94" i="3"/>
  <c r="U93" i="3"/>
  <c r="K93" i="3"/>
  <c r="E93" i="3"/>
  <c r="B93" i="3"/>
  <c r="U92" i="3"/>
  <c r="K92" i="3"/>
  <c r="E92" i="3"/>
  <c r="B92" i="3"/>
  <c r="U91" i="3"/>
  <c r="K91" i="3"/>
  <c r="E91" i="3"/>
  <c r="B91" i="3"/>
  <c r="U90" i="3"/>
  <c r="K90" i="3"/>
  <c r="E90" i="3"/>
  <c r="B90" i="3"/>
  <c r="U89" i="3"/>
  <c r="K89" i="3"/>
  <c r="E89" i="3"/>
  <c r="B89" i="3"/>
  <c r="U88" i="3"/>
  <c r="K88" i="3"/>
  <c r="E88" i="3"/>
  <c r="B88" i="3"/>
  <c r="U87" i="3"/>
  <c r="K87" i="3"/>
  <c r="E87" i="3"/>
  <c r="B87" i="3"/>
  <c r="U86" i="3"/>
  <c r="K86" i="3"/>
  <c r="E86" i="3"/>
  <c r="B86" i="3"/>
  <c r="U85" i="3"/>
  <c r="K85" i="3"/>
  <c r="E85" i="3"/>
  <c r="B85" i="3"/>
  <c r="U84" i="3"/>
  <c r="K84" i="3"/>
  <c r="E84" i="3"/>
  <c r="B84" i="3"/>
  <c r="U83" i="3"/>
  <c r="K83" i="3"/>
  <c r="E83" i="3"/>
  <c r="B83" i="3"/>
  <c r="U82" i="3"/>
  <c r="K82" i="3"/>
  <c r="E82" i="3"/>
  <c r="B82" i="3"/>
  <c r="U81" i="3"/>
  <c r="K81" i="3"/>
  <c r="E81" i="3"/>
  <c r="B81" i="3"/>
  <c r="U80" i="3"/>
  <c r="K80" i="3"/>
  <c r="E80" i="3"/>
  <c r="B80" i="3"/>
  <c r="U79" i="3"/>
  <c r="K79" i="3"/>
  <c r="E79" i="3"/>
  <c r="B79" i="3"/>
  <c r="U78" i="3"/>
  <c r="K78" i="3"/>
  <c r="E78" i="3"/>
  <c r="B78" i="3"/>
  <c r="U77" i="3"/>
  <c r="K77" i="3"/>
  <c r="E77" i="3"/>
  <c r="B77" i="3"/>
  <c r="U76" i="3"/>
  <c r="K76" i="3"/>
  <c r="E76" i="3"/>
  <c r="B76" i="3"/>
  <c r="U75" i="3"/>
  <c r="K75" i="3"/>
  <c r="E75" i="3"/>
  <c r="B75" i="3"/>
  <c r="U74" i="3"/>
  <c r="K74" i="3"/>
  <c r="E74" i="3"/>
  <c r="B74" i="3"/>
  <c r="U73" i="3"/>
  <c r="K73" i="3"/>
  <c r="E73" i="3"/>
  <c r="B73" i="3"/>
  <c r="U72" i="3"/>
  <c r="K72" i="3"/>
  <c r="E72" i="3"/>
  <c r="B72" i="3"/>
  <c r="U71" i="3"/>
  <c r="K71" i="3"/>
  <c r="E71" i="3"/>
  <c r="B71" i="3"/>
  <c r="U70" i="3"/>
  <c r="K70" i="3"/>
  <c r="E70" i="3"/>
  <c r="B70" i="3"/>
  <c r="U69" i="3"/>
  <c r="K69" i="3"/>
  <c r="E69" i="3"/>
  <c r="B69" i="3"/>
  <c r="U68" i="3"/>
  <c r="K68" i="3"/>
  <c r="E68" i="3"/>
  <c r="B68" i="3"/>
  <c r="U67" i="3"/>
  <c r="K67" i="3"/>
  <c r="E67" i="3"/>
  <c r="B67" i="3"/>
  <c r="U66" i="3"/>
  <c r="K66" i="3"/>
  <c r="E66" i="3"/>
  <c r="B66" i="3"/>
  <c r="U65" i="3"/>
  <c r="K65" i="3"/>
  <c r="E65" i="3"/>
  <c r="B65" i="3"/>
  <c r="U64" i="3"/>
  <c r="K64" i="3"/>
  <c r="E64" i="3"/>
  <c r="B64" i="3"/>
  <c r="U63" i="3"/>
  <c r="K63" i="3"/>
  <c r="E63" i="3"/>
  <c r="B63" i="3"/>
  <c r="U62" i="3"/>
  <c r="K62" i="3"/>
  <c r="E62" i="3"/>
  <c r="B62" i="3"/>
  <c r="U61" i="3"/>
  <c r="K61" i="3"/>
  <c r="E61" i="3"/>
  <c r="B61" i="3"/>
  <c r="U60" i="3"/>
  <c r="K60" i="3"/>
  <c r="E60" i="3"/>
  <c r="B60" i="3"/>
  <c r="U59" i="3"/>
  <c r="K59" i="3"/>
  <c r="E59" i="3"/>
  <c r="B59" i="3"/>
  <c r="U58" i="3"/>
  <c r="K58" i="3"/>
  <c r="E58" i="3"/>
  <c r="B58" i="3"/>
  <c r="U57" i="3"/>
  <c r="K57" i="3"/>
  <c r="E57" i="3"/>
  <c r="B57" i="3"/>
  <c r="U56" i="3"/>
  <c r="K56" i="3"/>
  <c r="E56" i="3"/>
  <c r="B56" i="3"/>
  <c r="U55" i="3"/>
  <c r="K55" i="3"/>
  <c r="E55" i="3"/>
  <c r="B55" i="3"/>
  <c r="U54" i="3"/>
  <c r="K54" i="3"/>
  <c r="E54" i="3"/>
  <c r="B54" i="3"/>
  <c r="U53" i="3"/>
  <c r="K53" i="3"/>
  <c r="E53" i="3"/>
  <c r="B53" i="3"/>
  <c r="U52" i="3"/>
  <c r="K52" i="3"/>
  <c r="E52" i="3"/>
  <c r="B52" i="3"/>
  <c r="U51" i="3"/>
  <c r="K51" i="3"/>
  <c r="E51" i="3"/>
  <c r="B51" i="3"/>
  <c r="U50" i="3"/>
  <c r="K50" i="3"/>
  <c r="E50" i="3"/>
  <c r="B50" i="3"/>
  <c r="U49" i="3"/>
  <c r="K49" i="3"/>
  <c r="E49" i="3"/>
  <c r="B49" i="3"/>
  <c r="U48" i="3"/>
  <c r="K48" i="3"/>
  <c r="E48" i="3"/>
  <c r="B48" i="3"/>
  <c r="U47" i="3"/>
  <c r="K47" i="3"/>
  <c r="E47" i="3"/>
  <c r="B47" i="3"/>
  <c r="U46" i="3"/>
  <c r="K46" i="3"/>
  <c r="E46" i="3"/>
  <c r="B46" i="3"/>
  <c r="U45" i="3"/>
  <c r="K45" i="3"/>
  <c r="E45" i="3"/>
  <c r="B45" i="3"/>
  <c r="U44" i="3"/>
  <c r="K44" i="3"/>
  <c r="E44" i="3"/>
  <c r="B44" i="3"/>
  <c r="U43" i="3"/>
  <c r="K43" i="3"/>
  <c r="E43" i="3"/>
  <c r="B43" i="3"/>
  <c r="U42" i="3"/>
  <c r="K42" i="3"/>
  <c r="E42" i="3"/>
  <c r="B42" i="3"/>
  <c r="U41" i="3"/>
  <c r="K41" i="3"/>
  <c r="E41" i="3"/>
  <c r="B41" i="3"/>
  <c r="U40" i="3"/>
  <c r="K40" i="3"/>
  <c r="E40" i="3"/>
  <c r="B40" i="3"/>
  <c r="U39" i="3"/>
  <c r="K39" i="3"/>
  <c r="E39" i="3"/>
  <c r="B39" i="3"/>
  <c r="U38" i="3"/>
  <c r="K38" i="3"/>
  <c r="E38" i="3"/>
  <c r="B38" i="3"/>
  <c r="U37" i="3"/>
  <c r="K37" i="3"/>
  <c r="E37" i="3"/>
  <c r="B37" i="3"/>
  <c r="U36" i="3"/>
  <c r="K36" i="3"/>
  <c r="E36" i="3"/>
  <c r="B36" i="3"/>
  <c r="U35" i="3"/>
  <c r="K35" i="3"/>
  <c r="E35" i="3"/>
  <c r="B35" i="3"/>
  <c r="U34" i="3"/>
  <c r="K34" i="3"/>
  <c r="E34" i="3"/>
  <c r="B34" i="3"/>
  <c r="U33" i="3"/>
  <c r="K33" i="3"/>
  <c r="E33" i="3"/>
  <c r="B33" i="3"/>
  <c r="U32" i="3"/>
  <c r="K32" i="3"/>
  <c r="E32" i="3"/>
  <c r="B32" i="3"/>
  <c r="U31" i="3"/>
  <c r="K31" i="3"/>
  <c r="E31" i="3"/>
  <c r="B31" i="3"/>
  <c r="U30" i="3"/>
  <c r="K30" i="3"/>
  <c r="E30" i="3"/>
  <c r="B30" i="3"/>
  <c r="U29" i="3"/>
  <c r="K29" i="3"/>
  <c r="E29" i="3"/>
  <c r="B29" i="3"/>
  <c r="U28" i="3"/>
  <c r="K28" i="3"/>
  <c r="E28" i="3"/>
  <c r="B28" i="3"/>
  <c r="U27" i="3"/>
  <c r="K27" i="3"/>
  <c r="E27" i="3"/>
  <c r="B27" i="3"/>
  <c r="U26" i="3"/>
  <c r="K26" i="3"/>
  <c r="E26" i="3"/>
  <c r="B26" i="3"/>
  <c r="U25" i="3"/>
  <c r="K25" i="3"/>
  <c r="E25" i="3"/>
  <c r="B25" i="3"/>
  <c r="U24" i="3"/>
  <c r="K24" i="3"/>
  <c r="E24" i="3"/>
  <c r="B24" i="3"/>
  <c r="U23" i="3"/>
  <c r="K23" i="3"/>
  <c r="E23" i="3"/>
  <c r="B23" i="3"/>
  <c r="U22" i="3"/>
  <c r="K22" i="3"/>
  <c r="E22" i="3"/>
  <c r="B22" i="3"/>
  <c r="U21" i="3"/>
  <c r="K21" i="3"/>
  <c r="E21" i="3"/>
  <c r="B21" i="3"/>
  <c r="U20" i="3"/>
  <c r="K20" i="3"/>
  <c r="E20" i="3"/>
  <c r="B20" i="3"/>
  <c r="U19" i="3"/>
  <c r="K19" i="3"/>
  <c r="E19" i="3"/>
  <c r="B19" i="3"/>
  <c r="U18" i="3"/>
  <c r="K18" i="3"/>
  <c r="E18" i="3"/>
  <c r="B18" i="3"/>
  <c r="U17" i="3"/>
  <c r="K17" i="3"/>
  <c r="E17" i="3"/>
  <c r="B17" i="3"/>
  <c r="U16" i="3"/>
  <c r="K16" i="3"/>
  <c r="E16" i="3"/>
  <c r="B16" i="3"/>
  <c r="U15" i="3"/>
  <c r="K15" i="3"/>
  <c r="E15" i="3"/>
  <c r="B15" i="3"/>
  <c r="U14" i="3"/>
  <c r="K14" i="3"/>
  <c r="E14" i="3"/>
  <c r="B14" i="3"/>
  <c r="U13" i="3"/>
  <c r="K13" i="3"/>
  <c r="E13" i="3"/>
  <c r="B13" i="3"/>
  <c r="U12" i="3"/>
  <c r="K12" i="3"/>
  <c r="E12" i="3"/>
  <c r="B12" i="3"/>
  <c r="U11" i="3"/>
  <c r="K11" i="3"/>
  <c r="E11" i="3"/>
  <c r="B11" i="3"/>
  <c r="U10" i="3"/>
  <c r="K10" i="3"/>
  <c r="E10" i="3"/>
  <c r="B10" i="3"/>
  <c r="U9" i="3"/>
  <c r="K9" i="3"/>
  <c r="E9" i="3"/>
  <c r="B9" i="3"/>
  <c r="U8" i="3"/>
  <c r="K8" i="3"/>
  <c r="E8" i="3"/>
  <c r="B8" i="3"/>
  <c r="U7" i="3"/>
  <c r="K7" i="3"/>
  <c r="E7" i="3"/>
  <c r="B7" i="3"/>
  <c r="U6" i="3"/>
  <c r="K6" i="3"/>
  <c r="E6" i="3"/>
  <c r="B6" i="3"/>
  <c r="U5" i="3"/>
  <c r="K5" i="3"/>
  <c r="E5" i="3"/>
  <c r="B5" i="3"/>
  <c r="U4" i="3"/>
  <c r="K4" i="3"/>
  <c r="E4" i="3"/>
  <c r="B4" i="3"/>
  <c r="U3" i="3"/>
  <c r="K3" i="3"/>
  <c r="E3" i="3"/>
  <c r="B3" i="3"/>
</calcChain>
</file>

<file path=xl/sharedStrings.xml><?xml version="1.0" encoding="utf-8"?>
<sst xmlns="http://schemas.openxmlformats.org/spreadsheetml/2006/main" count="11621" uniqueCount="8351">
  <si>
    <t>Date</t>
  </si>
  <si>
    <t>Twitter Query: Santi Abascal lang:es -filter:retweets -filter:replies</t>
  </si>
  <si>
    <t>User Details</t>
  </si>
  <si>
    <t>Screen Name</t>
  </si>
  <si>
    <t>Full Name</t>
  </si>
  <si>
    <t>Tweet Text</t>
  </si>
  <si>
    <t>Tweet ID</t>
  </si>
  <si>
    <t>Link(s)</t>
  </si>
  <si>
    <t>Media</t>
  </si>
  <si>
    <t>Location</t>
  </si>
  <si>
    <t>Retweets</t>
  </si>
  <si>
    <t>Favorites</t>
  </si>
  <si>
    <t>App</t>
  </si>
  <si>
    <t>Followers</t>
  </si>
  <si>
    <t>Follows</t>
  </si>
  <si>
    <t>Listed</t>
  </si>
  <si>
    <t>Verfied</t>
  </si>
  <si>
    <t>User Since</t>
  </si>
  <si>
    <t>Bio</t>
  </si>
  <si>
    <t>Website</t>
  </si>
  <si>
    <t>Timezone</t>
  </si>
  <si>
    <t>Profile Image</t>
  </si>
  <si>
    <t>Ivan</t>
  </si>
  <si>
    <t>Joder!! Hasta en #StarWars en #cuatro hablan de ir contra los separatistas.... Cuanto daño han hecho en #Hollywood los tres masqueperros... 🐶🐕🐩(@Albert_Rivera @pablocasado_ y @Santi_ABASCAL )</t>
  </si>
  <si>
    <t>Marisol Tabuyo</t>
  </si>
  <si>
    <t>London, England</t>
  </si>
  <si>
    <t>Asturiano en Londres por obra y gracia de los políticos bastardos y como han dejado ese país del q sólo aman su bandera. Pues mi bandera es esta: 🏴 #Atapuerca</t>
  </si>
  <si>
    <t>Valladolid</t>
  </si>
  <si>
    <t>#engineer#carreer#talent#entrepreneur#creativity #teacher#consultora#ingeniera#pseudoescritora proactiva y apasionada de la vida</t>
  </si>
  <si>
    <t>http://about.me/marisoltabuyo</t>
  </si>
  <si>
    <t>🇪🇸 No One 🇪🇸</t>
  </si>
  <si>
    <t>Lo siento @PPopular ,pero la solución dentro de la derecha española es @vox_es .Se os ha pasado el arroz. @Santi_ABASCAL es nuestro pastor. #EspañaViva</t>
  </si>
  <si>
    <t>En algún lugar</t>
  </si>
  <si>
    <t>«El verdadero soldado no lucha por odio a lo que tiene delante, lo hace por amor a lo que tiene detrás» Gilbert K. Chesterton #EspañaViva</t>
  </si>
  <si>
    <t>Sevillainfo</t>
  </si>
  <si>
    <t>El periodista @luisbaras escribe una carta a @Santi_ABASCAL en defensa de los trabajadores de @canalsur</t>
  </si>
  <si>
    <t>https://www.sevillainfo.es/noticias-de-andalucia/el-periodista-luis-baras-escribe-una-carta-a-santiago-abascal-en-defensa-de-los-trabajadores-de-canal-sur/</t>
  </si>
  <si>
    <t>Sevilla, España.</t>
  </si>
  <si>
    <t>🔶 Noticias, Análisis, Opinión. Nuevo diario digital de información general de #Sevillahoy. redaccion@sevillainfo.es</t>
  </si>
  <si>
    <t>http://www.sevillainfo.es</t>
  </si>
  <si>
    <t>Derecha</t>
  </si>
  <si>
    <t>DE AQUELLA MANERA</t>
  </si>
  <si>
    <t>Insto a la GENTE de bien, no ver #Salvados #VOX @Santi_ABASCAL No darle lo que él quiere, AUDIENCIA. ALGUNO lo subirá a YouTube y luego lo vemos. Hay que darles donde duele a ROURES, el dinero. @vox_es</t>
  </si>
  <si>
    <t>https://twitter.com/Santi_ABASCAL/status/1069949221175001089</t>
  </si>
  <si>
    <t>Chile</t>
  </si>
  <si>
    <t>Mi campo; mis profesiones; y sirven porque cumplen su función. Más a la Derecha que todos. No soporto el comunismo.</t>
  </si>
  <si>
    <t>http://www.CHILECHILECHILE.com</t>
  </si>
  <si>
    <t>.</t>
  </si>
  <si>
    <t>Suertudo de la vida</t>
  </si>
  <si>
    <t>Grande @Santi_ABASCAL llamando a las cosas por su nombre @vox_es #Santiabascal #VOXAndalucia RT @Santi_ABASCAL: Que asco ver a Pablo Mezquitas, desde su mansión de nuevo rico, azuzando el odio y la violencia callejera. Es tan miserable como sus adorados tiranos chavistas, pero aún más cobarde. Y qué repugnante ver a millonarios mediáticos azuzando la violencia política q nunca han padecido</t>
  </si>
  <si>
    <t>Sevilla+INFO</t>
  </si>
  <si>
    <t>https://twitter.com/Santi_ABASCAL/status/1069722798074068992</t>
  </si>
  <si>
    <t>El periodista @luisbaras escribe una carta a @Santi_ABASCAL en defensa de los trabajadores de @canalsur  vía @sevillainf</t>
  </si>
  <si>
    <t>pic.twitter.com/j1UqiWR0Lk</t>
  </si>
  <si>
    <t>Macdonals</t>
  </si>
  <si>
    <t>soy el rey del jamón York, tambien bloqueado por iglesias ,odiado por los podomitas y los nazi lacis 😎 SI ME SIGUES TE SIGO ASÍ DE FÁCIL GRACIAS X LEER MI BIO</t>
  </si>
  <si>
    <t>Sevilla</t>
  </si>
  <si>
    <t>Más noticias, más actualidad, más #Sevillahoy</t>
  </si>
  <si>
    <t>Antonio García</t>
  </si>
  <si>
    <t>Señor don @Santi_ABASCAL ,no entiendo su propuesta de cerrar CanalSur... Los toritos,la caza y las pelis de los 70s ,son su base....ahh!y...Juanymedio... Es la tele que a vosotros os gusta, y... ¡Sin Juanymedio los viejos de andalucia no tendrán nada! Revolución a la vista....</t>
  </si>
  <si>
    <t>Alhaurín el grande, Málaga</t>
  </si>
  <si>
    <t>“El precio de desentenderse de la política, es el ser gobernado por los peores hombres”</t>
  </si>
  <si>
    <t>Rober</t>
  </si>
  <si>
    <t>AP-7 @PSOE @ahorapodemos @vox_es @PPopular @CiudadanosCs @sanchezcastejon @Santi_ABASCAL . Hay que parar este secuestro yaaa!! Art.155 RT @Jorges4000: 50 personas sin autorizacion cortando 10 horas una vía básica como la AP-7 que afecta a la libre circulacion de millones de personas y con niños retenidos en el atasco. Todo ello con la complicidad de los supremacistas que controlan las instituciones públicas. #CDR</t>
  </si>
  <si>
    <t>https://twitter.com/jorges4000/status/1071438493216317440</t>
  </si>
  <si>
    <t>https://pbs.twimg.com/media/Dt6DoWtWwAEwyO2.jpg</t>
  </si>
  <si>
    <t>Joan-Marc</t>
  </si>
  <si>
    <t>Cuanta paciencia tiene @Ortega_Smith para explicar lo que es DEMOCRACIA a un independentista!! @voxnoticias_es @Santi_ABASCAL Adelante @vox_es !!! RT @vox_es: 📺 @Ortega_Smith le dice a un periodista separatista lo que millones de españoles piensan: ✅ "Los partidos separatistas deben ser ilegalizados". Y de paso le ayuda a comprender en qué consiste la democracia: - "Ya lo ha dicho 17 veces" - "Pues te lo voy a decir 18" 😂😂😂</t>
  </si>
  <si>
    <t>https://twitter.com/vox_es/status/1071063230687125504</t>
  </si>
  <si>
    <t>pic.twitter.com/oIuaK49ks1</t>
  </si>
  <si>
    <t>Empresario de ALOEFOREVER</t>
  </si>
  <si>
    <t>http://www.aloeforever.info</t>
  </si>
  <si>
    <t>Francisco Romero</t>
  </si>
  <si>
    <t>En estas fiestas navideñas y año nuevo, todos a brindar por España y por el sentimiento de ser español. Brindis de los Tercios. Diego Hernando de Acuña Poeta y Capitán de los Tercios de Flandes  @vox_es @Ortega_Smith @Santi_ABASCAL</t>
  </si>
  <si>
    <t>Marc Zaragoza</t>
  </si>
  <si>
    <t>https://youtu.be/Y49lI4IDraI</t>
  </si>
  <si>
    <t>Lleida, España</t>
  </si>
  <si>
    <t>Amin Lejarza Essalhi</t>
  </si>
  <si>
    <t>Solo me suben preguntas para usted @Santi_ABASCAL Por favor, me puede explicar en que barrios de Europa hay policía islámica, que busca que se cumplan los principios de la Sharia? De verdad, cada día me causa más intriga, muchas gracias de antemano.</t>
  </si>
  <si>
    <t>Bilbo- Bruxelles- Madrid-الناظور</t>
  </si>
  <si>
    <t>Founder of @Political_Room. Basque-berber. Political Sciences Focused #GeoPolitics #CounterTerrorism #Magreb #Sahel and #MuslimWorld</t>
  </si>
  <si>
    <t>https://www.linkedin.com/in/amin-lejarza-essalhi-601bb3a7/</t>
  </si>
  <si>
    <t>bitMomentum</t>
  </si>
  <si>
    <t>Más comentados ahora en Derecha/Centro Dcha.: ➀ @sanchezcastejon ↑ ➁ @PPopular ↑ ➂ @Santi_ABASCAL ↓ ➃ @GirautaOficial ↓ ➄ @vox_es ↑ ➅ @susanadiaz ↓ ➆ @gabrielrufian ↓ ➇ @PSOE ↑ ➈ @rosadiezglez ↓ ➉ @WillyTolerdoo ↑</t>
  </si>
  <si>
    <t>Observatorio en tiempo real de política española en Twitter.</t>
  </si>
  <si>
    <t>http://www.bitmomentum.com</t>
  </si>
  <si>
    <t>ideal_granada</t>
  </si>
  <si>
    <t>El domingo, @Santi_ABASCAL confirmaba solemne: «No os defraudaremos». No es cierto: @vox_es va a defraudar a muchos de sus votantes.</t>
  </si>
  <si>
    <t>https://www.ideal.es/granada/defraudaran-20181208234128-nt.html</t>
  </si>
  <si>
    <t>✅</t>
  </si>
  <si>
    <t>Granada</t>
  </si>
  <si>
    <t>Diario local con toda la información de Granada y su provincia.</t>
  </si>
  <si>
    <t>http://www.ideal.es</t>
  </si>
  <si>
    <t>Más influyentes ahora en Derecha/Centro Dcha.: ➀ @Santi_ABASCAL ↓ ➁ @GirautaOficial ↑ ➂ @WillyTolerdoo ↑ ➃ @rosadiezglez ↓ ➄ @mcyava ↑↑ ➅ @juanchoex ↑↑↑ ➆ @elmundoes ↑ ➇ @ElAguijon_ ↑ ➈ @libertaddigital ↑↑</t>
  </si>
  <si>
    <t>Maby</t>
  </si>
  <si>
    <t>" @Santi_ABASCAL culpa a @Pablo_Iglesias_ del ataque a dos afiliados de @vox_es: "¿Hasta cuándo vais a seguir los comunistas rompiendo la convivencia?""</t>
  </si>
  <si>
    <t>https://casoaislado.com/abascal-culpa-a-iglesias-del-ataque-a-dos-afiliados-de-vox-hasta-cuando-vais-a-seguir-los-comunistas-rompiendo-la-convivencia/</t>
  </si>
  <si>
    <t>En algún lugar...</t>
  </si>
  <si>
    <t>La curiosidad mató al gato... Pero murió sabiendo.!!!</t>
  </si>
  <si>
    <t>fijo que las hijas de santi abascal estan buenas, es que me juego lo que sea</t>
  </si>
  <si>
    <t>🇪🇸</t>
  </si>
  <si>
    <t>levanto la mano y me centran diez balones</t>
  </si>
  <si>
    <t>No pienso parar de escribirle mensajes @Santi_ABASCAL, por que estoy viendo una entrevista suya de 17 de julio de 2017, y es impresionante la cantidad de frases e ¨ideas ¨ que suelta.</t>
  </si>
  <si>
    <t>Marc Roigé</t>
  </si>
  <si>
    <t>Eh aquí un demócrata de derecha moderada... @Santi_ABASCAL</t>
  </si>
  <si>
    <t>https://pbs.twimg.com/media/Dt5-pMLWsAYfoRk.jpg</t>
  </si>
  <si>
    <t>Enginyeria Informàtica a la @univgirona.</t>
  </si>
  <si>
    <t>Santiago</t>
  </si>
  <si>
    <t>Fav si me quieres @Santi_ABASCAL</t>
  </si>
  <si>
    <t>ESPAÑAAAAAA</t>
  </si>
  <si>
    <t>Santiago Abascal fan account</t>
  </si>
  <si>
    <t>Gabriel López</t>
  </si>
  <si>
    <t>Llegan los primeros INSULTOS de medios de comunicación nacionales a los ciudadanos del El Ejido por votar mayoritariamente al partido de @Santi_ABASCAL El comunismo bolivariano intensifica sus ataques ante lo que les viene encima.</t>
  </si>
  <si>
    <t>https://pbs.twimg.com/media/Dt59L-PWsAYeYAN.jpg</t>
  </si>
  <si>
    <t>SÍGUEME Y TE SIGO. Pensaba quitarme el chupete esta semana pero me han puesto de mala hostia.</t>
  </si>
  <si>
    <t>http://agorafutura.wordpress.com</t>
  </si>
  <si>
    <t>Roaldcs</t>
  </si>
  <si>
    <t>Populistas como Pablo Iglesias o Santi Abascal hablan en nombre del pueblo frente a las elites criminales del hiperestado clientelar y sus aliados. Con portavoces asi, se siente usted “del pueblo”?</t>
  </si>
  <si>
    <t>Salamanca</t>
  </si>
  <si>
    <t>Empresario Salmantino/marketing digital. Vive y deja vivir sin el inicio de coacción. Necesitamos derrumbar el muro del hiperestado clientelar como Berlin 1989.</t>
  </si>
  <si>
    <t>http://www.fundalib.org</t>
  </si>
  <si>
    <t>Jose Manuel</t>
  </si>
  <si>
    <t>Yo no veo esas cosas... Desde luego. Estoy muy harto de las hembristas, su hipocresía, sus engaños, su tiranía y su dictadura. #Existen #UngaUngaArmy #CustodiaCompartida #noalindulto @Genmad @Santi_ABASCAL @vox_es @Albert_Rivera @pablocasado_ @Tonicanto1 RT @LElJusticiero: @MovistarPlus, nos vamos a ir dando de baja muchos usuarios hasta q no le deis la patada a esta hembrista de vuestra parrilla... Gracias. 😉 #BoicotMovistarPlus</t>
  </si>
  <si>
    <t>https://twitter.com/LElJusticiero/status/1071346116212523008
https://twitter.com/LeticiaDolera/status/1071090793560051714</t>
  </si>
  <si>
    <t>Gervasi Noubarris 🎗</t>
  </si>
  <si>
    <t>Este montaje podría parecerle a la persona poco avispada que es Santi Abascal haciendole una felación virtual al cadáver del dictador Franco (ojo, como agradecimiento viril entre hombres blancos heteros cis, los de vox no tienen nada de mariconeo). RT @danierdecai35: Santi Abascal susurrándole a Franco que él no es de extrema derecha.</t>
  </si>
  <si>
    <t>https://twitter.com/danierdecai35/status/1070800695945760768</t>
  </si>
  <si>
    <t>https://pbs.twimg.com/media/Dtw_d7JW4AAeyTa.jpg</t>
  </si>
  <si>
    <t>Yippee ki-yay, hijo de puta. he/him/his https://catmemoria.cat/poble-a-poble/ https://spanishpolice.github.io</t>
  </si>
  <si>
    <t>https://spanishpolice.github.io/</t>
  </si>
  <si>
    <t>Juan Antonio Parra</t>
  </si>
  <si>
    <t>Cuando @Santi_ABASCAL cobraba más que el Presidente del Gobierno por cargos a dedo pagados con dinero público.  vía @maldita_es</t>
  </si>
  <si>
    <t>https://maldita.es/malditodato/cuando-abascal-cobraba-mas-que-el-presidente-del-gobierno-por-cargos-a-dedo-pagados-con-dinero-publico/</t>
  </si>
  <si>
    <t>Murcia (Españistán)</t>
  </si>
  <si>
    <t>Aficionado a las buenas músicas del mundo y al baloncesto. Indignado, no. Hasta los huevos... Instagram: @j.parrag</t>
  </si>
  <si>
    <t>Uri ||*||</t>
  </si>
  <si>
    <t>Buenas tardes @galceran_montse , @ManuelaCarmena , @provivienda_org , @emvsmadrid , @CasaReal , @sanchezcastejon , @pablocasado_ , @Albert_Rivera , @InesArrimadas , @Santi_ABASCAL Le echáis un vistazo a esto, ¿¿¿POR FAVOR??? "GRACIAS."  #stopdesahuciosRT @alwaysfree86: Mi desahucio terminará de la peor de las maneras..SUICIDIO @galceran_montse @ManuelaCarmena @provivienda_org @emvsmadrid @La1_tve @antena3com @cuatro @telemadrid @telecincoes @laSextaTV @MADRID @ComunidadMadrid @JMDTetuan @Tetuan30Dias @Invisibles_T @OSTetuan</t>
  </si>
  <si>
    <t>https://twitter.com/alwaysfree86/status/1070299080906211329?s=19</t>
  </si>
  <si>
    <t>pic.twitter.com/x2YQ2k8WrQ</t>
  </si>
  <si>
    <t>María de Tabarnia 🇪🇸 🌺</t>
  </si>
  <si>
    <t>🔵🔵🔵 Avalancha de afiliados en @vox_es @Santi_ABASCAL</t>
  </si>
  <si>
    <t>http://lrzn.es/1am9m3</t>
  </si>
  <si>
    <t>Barcelona, Cataluña, ESPAÑA</t>
  </si>
  <si>
    <t>Enamorada de la Mar y de la Luna, de la cultura, arte, música, deporte, de mis hijos, de Dios, del AMOR... "Cualquier noche de estas, volverá a brillar el Sol".</t>
  </si>
  <si>
    <t>Juan Bulnes Castillo</t>
  </si>
  <si>
    <t>Sería demasiado pedir que en las entrevistas que les hagan, hacen y han hecho medios de difusión nacional y determinadas "estrellas" del periodismo patrio a @Ortega_Smith y a @Santi_ABASCAL, estas estrellas dejen de comportarse como "hooligans" de opciones políticas contrarias?</t>
  </si>
  <si>
    <t>Betis City</t>
  </si>
  <si>
    <t>Bético y español. Cofrade, Hno de La Amargura y costalero de su Palio. Muy futbolero, taurino, aficionado al cine clásico. Abogado y funcionario.</t>
  </si>
  <si>
    <t>Más comentados ahora en Derecha/Centro Dcha.: ➀ @sanchezcastejon ↑ ➁ @Santi_ABASCAL ↑ ➂ @susanadiaz ↑ ➃ @GirautaOficial ↑ ➄ @rosadiezglez ↑ ➅ @gabrielrufian ↑ ➆ @Alvisepf ↑ ➇ @pmanglano ↑↑ ➈ @PPopular ↓ ➉ @PSOE ↓</t>
  </si>
  <si>
    <t>Más influyentes ahora en Derecha/Centro Dcha.: ➀ @Santi_ABASCAL ↑ ➁ @GirautaOficial ↑ ➂ @rosadiezglez ↑ ➃ @Alvisepf ↑ ➄ @pmanglano ↑↑ ➅ @elmundoes ↑↑ ➆ @Bribon1970 ↓ ➇ @CristinaSegui_ ↓ ➈ @Anonymus_ES</t>
  </si>
  <si>
    <t>Antonio Dominguez</t>
  </si>
  <si>
    <t>.@Albert_Rivera @Santi_ABASCAL @pablocasado_ esto no puede seguir así !! #EleccionesYa #AP7 RT @guarge: @sanchezcastejon vergonzoso que no podamos volver tranquilos a casa después de un gran torneo en Sant Boi, por culpa de los cortes en la Ap7 y nos encontremos atrapados dentro de un autobús el equipo entero 😡😡😡</t>
  </si>
  <si>
    <t>https://twitter.com/guarge/status/1071415889168359424</t>
  </si>
  <si>
    <t>Sevillano, católico y cofrade @Hdad_Macarena y muy sevilista.</t>
  </si>
  <si>
    <t>JUSTA</t>
  </si>
  <si>
    <t>PERO LOS PODEMITAS NO SABEN LO QUE SON LAS BUENAS PERSONAS PORQUE TAMPOCO SABEN LO QUE SON LOS VALORES, EXCEPTO "EL VALOR" DE LOS CASAPLONES  vía @elenfurecidoweb</t>
  </si>
  <si>
    <t>https://elenfurecido.wordpress.com/2018/12/08/bertin-osborne-sobre-santiago-abascal-le-conozco-perfectamente-santi-es-una-persona-espectacular-es-buena-gente-como-ni-te-imaginas/</t>
  </si>
  <si>
    <t>Madrid, España</t>
  </si>
  <si>
    <t>TENGO UN GRAN SENTIDO DE LA JUSTICIA Y UNA COSA MUY CLARA: ¡¡QUIEN NO QUIERA A ESPAÑA....QUE SE VAYA!!</t>
  </si>
  <si>
    <t>PARTIDO SOLIDARIDAD</t>
  </si>
  <si>
    <t>QUIEREN APROVECHAR LA FALTA DE AUTORIDAD DE SU REHÉN EL DOCTOR #CUMFRAUDE Tambores de guerra separatistas: Torra y Puigdemont anuncian un choque inminente- Libertad Digital | Versión Móvil (mobile)  @CasaReal @GeneralDavila @pablocasado_ @Santi_ABASCAL</t>
  </si>
  <si>
    <t>https://www.libertaddigital.com/espana/2018-12-08/tambores-de-guerra-separatistas-torra-y-puigdemont-anuncian-un-choque-inminente-1276629580/</t>
  </si>
  <si>
    <t>La situación en España es cada vez más grave. Recomendamos que os unáis a VOX. Y que ayudéis a Venezuela, Nicaragua y Cuba a salir de la dictadura comunista</t>
  </si>
  <si>
    <t>Sánchez 36.0</t>
  </si>
  <si>
    <t>Para hablar de @Vox la @SextaNocheTV llama a Juan Carlos Monedero. Debe ser que @Santi_ABASCAL no se sabe el programa. RT @laSextaTV: Hoy, en @SextaNocheTV analizamos los motivos y posibles consecuencias del ascenso de Vox. Además, charlamos con @mmendizabal1, @MonederoJC y @MiguelPoveda</t>
  </si>
  <si>
    <t>https://twitter.com/laSextaTV/status/1071359987514007553
http://atres.red/d3tc431</t>
  </si>
  <si>
    <t>pic.twitter.com/8RVNoySEGB</t>
  </si>
  <si>
    <t>Retuiteo todo lo que me parece interesante, lo comparta o no. Sigo a aquellos de los que pueda aprender.</t>
  </si>
  <si>
    <t>CriptosGratis</t>
  </si>
  <si>
    <t>La educacion hay que mamarla y ese enjendro solo mamò terrorismo y odio @Pablo_Iglesias_ Por una España educada y unida vota @vox_es vota a @Santi_ABASCAL #FelizSabado #FelizFinde</t>
  </si>
  <si>
    <t>https://pbs.twimg.com/media/Dt5tQzZWoAEoo_w.jpg</t>
  </si>
  <si>
    <t>La mejor manera de ganar criptomonedas gratuitamente. No importa lo que valga hoy ,sino cuánto valdrá en el futuro.</t>
  </si>
  <si>
    <t>http://criptosgratis.blogspot.com.es/</t>
  </si>
  <si>
    <t>Yoan A</t>
  </si>
  <si>
    <t>Hey @Santi_ABASCAL hay puntos de razon en sus palabras sobre la Intervencion,no coincido sobre ARivera,pero de que es necesaria la intervencion,lo es....Albert Boadella: "O se interviene Cataluña varios años o nos comemos la independencia"  via @elmundoes</t>
  </si>
  <si>
    <t>https://www.elmundo.es/opinion/2018/12/08/5c081e04fdddff5b688b4717.html</t>
  </si>
  <si>
    <t>Ing Mecánico,Right,Creo en Dios y en mi Divina Pastora"Pain Is Temporary Quitting Lasts Forever"Try again &amp; again,&amp;u will do it, Guaro, Cardenalero y Cule 😎</t>
  </si>
  <si>
    <t>Apocaleftists</t>
  </si>
  <si>
    <t>Aquí os dejo un vídeo donde desmonto las mentiras y manipulaciones por parte del programa @mananascuatro y su presentador @Ruiz_Noticias contra @Santi_ABASCAL y su partido @vox_es que está utilizando @ahorapodemos a su favor.</t>
  </si>
  <si>
    <t>https://www.youtube.com/watch?v=8wTdN74vaDM</t>
  </si>
  <si>
    <t>En el búnquer blindado contra progres.</t>
  </si>
  <si>
    <t>Sobreviví a una epidemia "progre" en mi ciudad. Fué muy duro, pero lo conseguí. Sé que quedan supervivientes a esa plaga, he recibido ciertas señales de radio.</t>
  </si>
  <si>
    <t>Cabreo Político</t>
  </si>
  <si>
    <t>Hola! @sanchezcastejon @Pablo_Iglesias_ @Albert_Rivera @Santi_ABASCAL @pablocasado_</t>
  </si>
  <si>
    <t>https://pbs.twimg.com/media/Dt5s3bgXgAE0qSx.png</t>
  </si>
  <si>
    <t>Madrid, Comunidad de Madrid</t>
  </si>
  <si>
    <t>Análisis Cabreo político en Twitter</t>
  </si>
  <si>
    <t>elEconomista.es</t>
  </si>
  <si>
    <t>Así fue la entrevista más tensa con Santi Abascal tras el éxito electoral de Vox</t>
  </si>
  <si>
    <t>https://ecoteuve.eleconomista.es/programas/noticias/9564085/12/18/Santiago-Abascal-y-Ana-Rosa-Quintana-se-enzarzan-por-la-violencia-machista-en-la-primera-entrevista-al-lider-de-Vox-.html</t>
  </si>
  <si>
    <t>Cuenta oficial de elEconomista.es. Facebook http://www.facebook.com/elEconomista.es Gracias por compartir con nosotros.</t>
  </si>
  <si>
    <t>http://www.eleconomista.es</t>
  </si>
  <si>
    <t>Pablo</t>
  </si>
  <si>
    <t>Objetivos de 2018 - No morir ✅ - Empezar bachiller ✅ - Hacer que Santi Abascal me bloqueé en Instagram ✅ - Hacer que Santi Abascal me bloqueé en Twitter ❌ Lo consigo antes de que acabe el año?</t>
  </si>
  <si>
    <t>Luís</t>
  </si>
  <si>
    <t>Concedamosle de momento a @Santi_ABASCAL el beneficio de la duda 😃 RT @doguionrego: @martuniki De más derecha para ganar más dinero y de más izquierda para poder repartirlo entre los más necesitados A lo mejor es así de simple 😉</t>
  </si>
  <si>
    <t>https://twitter.com/doguionrego/status/1071411408779309057</t>
  </si>
  <si>
    <t>España</t>
  </si>
  <si>
    <t>concursante</t>
  </si>
  <si>
    <t>Spain / Italy PI</t>
  </si>
  <si>
    <t>Bertín Osborne sobre Santiago Abascal: “Le conozco perfectamente. Santi es una persona…</t>
  </si>
  <si>
    <t>https://goo.gl/fb/22NmFz</t>
  </si>
  <si>
    <t>Netherlands</t>
  </si>
  <si>
    <t>Notizie politicamente scorrette / noticias políticamente incorrectas</t>
  </si>
  <si>
    <t>https://voiceofeurope.com/</t>
  </si>
  <si>
    <t>A mi si @Santi_ABASCAL cumple y hace cumplir la constitución al pie de la letra me doy por satisfecho 😃 RT @doguionrego: @JuanVil16 @buenoparapensar @Igarrigavaz @Santi_ABASCAL @vox_es No es fácil gobernar para todos los gustos 😉</t>
  </si>
  <si>
    <t>https://twitter.com/doguionrego/status/1071407462337667072</t>
  </si>
  <si>
    <t>El Independiente</t>
  </si>
  <si>
    <t>📢 En su antigua formación, en la que se forjó como político entre cargos y la amenaza terrorista, es difícil encontrar alabanzas sobre @Santi_ABASCAL #Vox</t>
  </si>
  <si>
    <t>https://www.elindependiente.com/politica/2018/12/08/euskadi-la-tierra-que-esculpio-al-lider-de-vox-santiago-abascal/?utm_source=share_buttons&amp;utm_medium=twitter&amp;utm_campaign=social_share2</t>
  </si>
  <si>
    <t>#ElIndependiente, un medio ideado, creado y controlado por periodistas. Dirigido por @garcia_abadillo. También http://facebook.com/indpcom #SomosIndependientes</t>
  </si>
  <si>
    <t>http://www.elindependiente.com</t>
  </si>
  <si>
    <t>cnestevez</t>
  </si>
  <si>
    <t>Cuanto dinero islamita hay detrás de la asistencia de Pedro Sánchez a la conferencia de Marrakech para firmar el Pacto sobre Migración? @vox_es, @Santi_ABASCAL , @voxnoticias_es,@diegoaaestevez</t>
  </si>
  <si>
    <t>Fernando</t>
  </si>
  <si>
    <t>Entrevista a @Ortega_Smith en @EspejoPublico 07-12-18), a partir del minuto 48, como siempre grande Javier, @Santi_ABASCAL @FSerranoCastro @ivanedlm @VOX_Jaen @vox_es imparable</t>
  </si>
  <si>
    <t>https://www.atresplayer.com/antena3/programas/espejo-publico/diciembre-2018/07-12-18-mary-la-anciana-desahuciada-quieren-internarme-para-tenerme-sujeta_5c0a74307ed1a82eec49ceb6/</t>
  </si>
  <si>
    <t>JOSE LUIS DIAZ</t>
  </si>
  <si>
    <t>El MAMANDURRIAS @Santi_ABASCAL siguiendo las enseñanzas de su maestra espe la fugas RT @Santi_ABASCAL: Una irresponsabilidad de @elespanolcom haciéndole el juego a Podemos, a Bildu y los CDR, que pretenden deshumanizarnos para atacarnos impúnemente. Una verdadera pena @pedroj_ramirez</t>
  </si>
  <si>
    <t>https://twitter.com/Santi_ABASCAL/status/1070802202787241984
https://twitter.com/FrayJosepho/status/1070786718683619328</t>
  </si>
  <si>
    <t>#YovotePodemosNomarea</t>
  </si>
  <si>
    <t>La mafia fascista huele las mamandurrias, al igual que su jefe @Santi_ABASCAL EL MAMANDURRIAS Las afiliaciones a VOX se disparan: Ya hay más de 20.000 afiliados y están cerca de superar a Ciudadanos</t>
  </si>
  <si>
    <t>https://diariopatriota.com/las-afiliaciones-a-vox-se-disparan-ya-hay-mas-de-20-000-afiliados-y-estan-cerca-de-superar-a-ciudadanos/</t>
  </si>
  <si>
    <t>Más comentados ahora en Derecha/Centro Dcha.: ➀ @sanchezcastejon ↓ ➁ @Santi_ABASCAL ↓ ➂ @PSOE ↑ ➃ @susanadiaz ↑ ➄ @PPopular ↑ ➅ @agarzon ↑ ➆ @rosadiezglez ↓ ➇ @Alvisepf ↓ ➈ @gabrielrufian ↓ ➉ @CristinaSegui_ ↓</t>
  </si>
  <si>
    <t>Más influyentes ahora en Derecha/Centro Dcha.: ➀ @Santi_ABASCAL ↓ ➁ @rosadiezglez ↓ ➂ @CristinaSegui_ ↓ ➃ @Alvisepf ↓ ➄ @ElAguijon_ ↓ ➅ @Bribon1970 ↓ ➆ @Anonymus_ES ↓ ➇ @dlacalle ↓ ➈ @Nanchinho ↓ ➉ @ignacioaguado ↑</t>
  </si>
  <si>
    <t>LaPelirroja</t>
  </si>
  <si>
    <t>Fuera Dictaduras, fuera Comunismo. Viva la Libertad!! @Pablo_Iglesias_ @pnique @sanchezcastejon @vox_es @desdelamoncloa @Tonicanto1 @pablocasado_ @Santi_ABASCAL RT @alsan73: @Santi_ABASCAL</t>
  </si>
  <si>
    <t>https://twitter.com/alsan73/status/1071376559771189253</t>
  </si>
  <si>
    <t>https://pbs.twimg.com/media/Dt5LS0IXgAARaqF.jpg</t>
  </si>
  <si>
    <t>Planeta Rojo</t>
  </si>
  <si>
    <t>Nunca dejes de Soñar ❤</t>
  </si>
  <si>
    <t>Todo es cuestión de si @Santi_ABASCAL piensa con respecto al pasado o se mentaliza en visualizar el futuro donde todo ha cambiado 😃 Gracias por hacerme pensar Bueno RT @buenoparapensar: @doguionrego @Igarrigavaz @Santi_ABASCAL En @vox_es tendrán que elegir entre un Estado fuerte capaz de crear conciencia nacional y de reconciliarse con su pasado o un liberalismo que imposibilita este proyecto. 🤔 A no ser que, como en el marxismo, sea la dictadura la que prepare, en este caso, el paraíso liberal 😄</t>
  </si>
  <si>
    <t>https://twitter.com/buenoparapensar/status/1071393943647121414</t>
  </si>
  <si>
    <t>Ulises Gamez Guilarte</t>
  </si>
  <si>
    <t>Utilizar a los mossos con fines políticos es un aviso de dictadura. No todo es tolerancia. Torra debe ser destituido y apresado. Igual el mercenario comunista Iglesias siendo diputado incita la violencia y el desorden público. Tiene que ir a la cárcel @FJL_EsRadio @Santi_ABASCAL RT @jordi_canyas: La democracia no puede permitir que un gobierno desleal y golpista mande sobre 17.000 agentes armados. Son una amenaza real para la convivencia y las libertades en Cataluña. La Ley de Seguridad debe ser aplicada inmediatamente.</t>
  </si>
  <si>
    <t>https://twitter.com/jordi_canyas/status/1071072326995845123
https://cronicaglobal.elespanol.com/politica/el-govern-se-pliega-a-la-cup-y-anc-y-analizara-a-los-mossos-d-esquadra_205191_102.html</t>
  </si>
  <si>
    <t xml:space="preserve">Calobre Panamá. </t>
  </si>
  <si>
    <t>Abogado y compositor Cubano. Vivo en Calobre Panamá. esta foto la de mi perfil es en Rusia.</t>
  </si>
  <si>
    <t>Jose</t>
  </si>
  <si>
    <t>El señor @Santi_ABASCAL quiere cerrar Canal sur la cadena de todos los andaluces que sepas Santi que no vas a pasar no vamos a permitir que eches a la calle a miles de familias y te irás para tu tierra con el rabo entre las piernas</t>
  </si>
  <si>
    <t>Andalucía</t>
  </si>
  <si>
    <t>▄︻̷̿┻̿═━一 ¯\_(ツ)_/¯ #loboprotegido</t>
  </si>
  <si>
    <t>Fact Check CV</t>
  </si>
  <si>
    <t>❓INCIERTO Según la web de @vox_es “nunca hemos vivido de la política”. 💼En cambio @Santi_ABASCAL (Presidente de VOX, 42 años) vive de ella desde los 23 años alternando múltiples cargos públicos (ninguno de ellos de gobierno o gestión).</t>
  </si>
  <si>
    <t>https://pbs.twimg.com/media/Dt5fpNgX4AA56if.jpg</t>
  </si>
  <si>
    <t>Aquí pasamos el fact check a las #FakeNews valencianas.</t>
  </si>
  <si>
    <t>Anavel</t>
  </si>
  <si>
    <t>🆘🆘🆘🆘🆘Con esta nueva ley, la identidad y cultura de los pueblos sera destruida @vox_es @voxnoticias_es @Santi_ABASCAL @Ortega_Smith</t>
  </si>
  <si>
    <t>https://www.youtube.com/watch?time_continue=69&amp;v=wQUSbzSeDWw</t>
  </si>
  <si>
    <t>Entre el Cielo y la Tierra</t>
  </si>
  <si>
    <t>Si. Anavel con V. El Ángel al Servicio de Dios. Hace tiempo que bajé el volumen de lo que escucho y subí el tono de lo que siento. 🇪🇸🇪🇸🇪🇸🇪🇸🇪🇸</t>
  </si>
  <si>
    <t>Gata. Amazona de Tabarnia</t>
  </si>
  <si>
    <t>Torra y Puigdemont, hoy en Bruselas. Quieren recoger firmas para expulsar a España de La Unión Europea!!! @sanchezcastejon @Albert_Rivera @pablocasado_ @Santi_ABASCAL @Defensagob</t>
  </si>
  <si>
    <t>Quédate quieto, en silencio y escucha a tu corazón. Y cuando te hable, levantate y ve donde él te lleve.</t>
  </si>
  <si>
    <t>Opinioner 26</t>
  </si>
  <si>
    <t>Paso a paso nos llevan al enfrentamiento civil. ¿Es posible una Huelga General planteada por partidos políticos? Srs @Santi_ABASCAL @pablocasado_ @TeoGarciaEgea @Albert_Rivera @GirautaOficial @InesArrimadas el tiempo se acaba. No nos dejen tirados @vox_es @PPopular @CiudadanosCs</t>
  </si>
  <si>
    <t>https://pbs.twimg.com/media/Dt5dPX4WsAAQH7_.jpg</t>
  </si>
  <si>
    <t>Tertuliano rebelde. Español y a favor de potenciar la clase media, o sea, anti socialista-populista 🇪🇸🏁⚽</t>
  </si>
  <si>
    <t>Chus</t>
  </si>
  <si>
    <t>Un HÉROE @Santi_ABASCAL Para cobardes y asesinos están los que ya sabemos. RT @sterlingmrch: La vida de Santiago Abascal en su País Vasco natal: amenazas de muerte de ETA, su negocio familiar quemado en varias ocasiones y cartas de extorsión a su abuelo. ¿Qué nos apostamos a que esto no sale en los medios?</t>
  </si>
  <si>
    <t>https://twitter.com/sterlingmrch/status/1070681768687210496</t>
  </si>
  <si>
    <t>pic.twitter.com/MdfwvNSZyy</t>
  </si>
  <si>
    <t>👨‍👩‍👧‍👦👠💋🦅🌞🥘🇪🇸🏎️✝️@vox_es</t>
  </si>
  <si>
    <t>Jorge Camilo</t>
  </si>
  <si>
    <t>Quita a @Albiol_XG y pon a @Santi_ABASCAL RT @camilotxo: La carta a los Reyes Magos de @Albiol_XG termina así "Baltasar, si tienes huevos trae tú los regalos".</t>
  </si>
  <si>
    <t>https://twitter.com/camilotxo/status/669531960730062849</t>
  </si>
  <si>
    <t>Ups, un coche azul!</t>
  </si>
  <si>
    <t>Más comentados ahora en Derecha/Centro Dcha.: ➀ @sanchezcastejon ↑ ➁ @Santi_ABASCAL ↑ ➂ @agarzon ↑↑↑ ➃ @rosadiezglez ↓ ➄ @susanadiaz ↑↑ ➅ @gabrielrufian ↑ ➆ @PPopular ↑ ➇ @vox_es ↑ ➈ @dlacalle ↑↑↑ ➉ @ElAguijon_ ↑</t>
  </si>
  <si>
    <t>JENOFONTE</t>
  </si>
  <si>
    <t>Hecho en España (Made in Spain) 🇪🇸</t>
  </si>
  <si>
    <t>Las respuestas hechas en castellano por los ciudadanos en Galicia, son respondidas en Gallego y en documentación oficial donde el castellano va en letra más pequeña. ¿como se come eso? @pablocasado_ @Santi_ABASCAL @InLibertatem @jocamaru71 @0d5909f1f9a4455 @Cuetano68 @PPopular</t>
  </si>
  <si>
    <t>▶Decimos lo que pensamos y creemos en la libertad y respeto a las personas, los extremismos no nos gustan.◀. #Tecnología, #Seguridad #consumo y #Servicios</t>
  </si>
  <si>
    <t>http://xn--espaa-rta.es</t>
  </si>
  <si>
    <t>Más influyentes ahora en Derecha/Centro Dcha.: ➀ @Santi_ABASCAL ↑ ➁ @rosadiezglez ↓ ➂ @ElAguijon_ ↑ ➃ @dlacalle ↑↑↑ ➄ @Bribon1970 ↑ ➅ @Alvisepf ↑↑ ➆ @Anonymus_ES ↓ ➇ @elmundoes ↓ ➈ @Nanchinho ↓↓ ➉ @mcyava ↓</t>
  </si>
  <si>
    <t>There where beauty dwells</t>
  </si>
  <si>
    <t>Antirrelativista. Aviador “EL CARACTER ES EL DESTINO”. HERACLITO. “CHARACTER IS DESTINY”. HERACLITUS. Proud of my Mediterraneans’ and Spaniards’ roots. Aviator.</t>
  </si>
  <si>
    <t>VOX LÉRIDA</t>
  </si>
  <si>
    <t># @VoxLerida @vox_es @Santi_ABASCAL Enric Juliana en la Vanguardia nos da 35 Diputados en el Congreso. Y van ser mas muchos mas. Vox a venido para quedarse......</t>
  </si>
  <si>
    <t>https://www.lavanguardia.com/politica/20181208/453414238244/elecciones-andaluzas-vox-pacto-pp-ciudadanos-cis.html</t>
  </si>
  <si>
    <t>Lérida, Cataluña</t>
  </si>
  <si>
    <t>Cuenta oficial de VOX en la provincia de Lérida, ESPAÑA.</t>
  </si>
  <si>
    <t>https://www.voxespana.es/lerida</t>
  </si>
  <si>
    <t>Amaya51</t>
  </si>
  <si>
    <t>ETB golpea a Vox con El Yunque, Irán y las “tarjetas green” de Santi Abascal</t>
  </si>
  <si>
    <t>https://www.moncloa.com/etb-vox-yunque-iran-abascal/</t>
  </si>
  <si>
    <t>Siempre dispuesta a aprender de todo y de todos. Siempre queriendo mejorar. Siempre cuestionando. Siempre por la igualdad. Feminista, atea, roja y republicana.</t>
  </si>
  <si>
    <t>Ruben Dario</t>
  </si>
  <si>
    <t>...el "camino PODEMITA"..(título para un aguinaldo)... @Pablo_Iglesias_ @Santi_ABASCAL RT @DolarToday: ¡EL GRAN LEGADO! La “revolución” chavista llega a sus 20 años con un país agonizante #TeamHDP</t>
  </si>
  <si>
    <t>https://twitter.com/DolarToday/status/1071379013539512320
https://goo.gl/AMutyS</t>
  </si>
  <si>
    <t>http://page.is/ruben-dario</t>
  </si>
  <si>
    <t>Irene Llorente</t>
  </si>
  <si>
    <t>Gracias a Podemos y su discurso de incitación al odio hacia @vox_es ha hecho que se caven ellos mismos su propia tumba política. En unos años desaparecerán del panorama político de España @CiudadVox @Santi_ABASCAL @Ortega_Smith</t>
  </si>
  <si>
    <t>Hay gente tan pobre que sólo tiene dinero</t>
  </si>
  <si>
    <t>Transparencia UPM ¡Elecciones anticipadas YA!🇪🇸</t>
  </si>
  <si>
    <t>🤣🤣🤣 Como les escuecen el programa de @vox_es 100000 votos más para @Santi_ABASCAL RT @FrayJosepho: Señores de El País y señor Llamazares, no inventen. Pongan en Google "Librería+El Ejido". Sale hasta un mapita de dónde están. #INVENT</t>
  </si>
  <si>
    <t>https://twitter.com/frayjosepho/status/1071381068228558848
https://twitter.com/el_pais/status/1071379867197796357</t>
  </si>
  <si>
    <t>ESPAÑA con Ñ como siempre</t>
  </si>
  <si>
    <t>No peace without justice</t>
  </si>
  <si>
    <t>Pepe Aparicio</t>
  </si>
  <si>
    <t>Q no se presenten los separatistas naZis.... el @PSOE ya defiende sus argumentos! Esto debería contestar @Santi_ABASCAL @vox_es RT @elespanolcom: Cunillera: "No hace falta que Vox se presente en Cataluña, PP y Cs ya defienden sus argumentos"</t>
  </si>
  <si>
    <t>https://twitter.com/elespanolcom/status/1071378861370294272
https://www.elespanol.com/espana/politica/20181208/cunillera-no-vox-cataluna-pp-cs-argumentos/359214358_0.html</t>
  </si>
  <si>
    <t>https://pbs.twimg.com/media/Dt5KbsrXQAAROVz.jpg</t>
  </si>
  <si>
    <t>Liberal, Moderado, defensor de valores como familia y amistad. Natural de Aranjuez, apasionado de Valencia. Lo que no soporto es la demagogia. CMU NEBRIJA</t>
  </si>
  <si>
    <t>Sergio Soler Lopez 🇪🇸</t>
  </si>
  <si>
    <t>Hola @malditobulo, para cuando el desmentido de la foto de @Santi_ABASCAL besando la tumba de Franco cuando realmente estaba bebiendo en el río ?</t>
  </si>
  <si>
    <t>Melilla (España)</t>
  </si>
  <si>
    <t>Técnico Informático Ciudad Autónoma de Melilla.</t>
  </si>
  <si>
    <t>Hubo un grito evidente que @Santi_ABASCAL escucho con claridad : NO NOS DEFRAUDES 😉 RT @vox_es: 📰 Entrevista de @crpandemonium a @Ortega_Smith 🗨 "El éxito de VOX en un feudo socialista presagia otro mayor en las generales" 🗨 "No hemos venido a pedir cargos. Hemos venido a que se apliquen determinadas políticas y esa va a ser nuestra negociación"</t>
  </si>
  <si>
    <t>https://twitter.com/vox_es/status/1071008567732461569
https://www.elespanol.com/espana/politica/20181207/ortega-smith-vox-socialista-andalucia-presagia-generales/358715080_0.html</t>
  </si>
  <si>
    <t>Antonio Javier</t>
  </si>
  <si>
    <t>Buenas tardes Iván desde Huelva un cordial saludo de un afiliado a VOX. Algunos aún no lo han entendido @lcavicarra no es "el negro de VOX" @monasteriioR no es "la mujer n de VOX" @Santi_abascal no es "El vasco de VOX " Y otros tampoco son "la mujer de VOX " RT @ivanedlm: Algunos aún no lo han entendido. @Igarrigavaz no es “el negro de Vox”. @monasterioR no es “la mujer de Vox”. @Santi_ABASCAL no es “el vasco de Vox”. Y otros tampoco son “el gay de Vox”. En @vox_es no hay cuotas, no hay colectivización de individuos. Sólo hay personas libres!</t>
  </si>
  <si>
    <t>https://twitter.com/ivanedlm/status/1071369430070910976
https://twitter.com/igarrigavaz/status/1071325628748742657</t>
  </si>
  <si>
    <t>Huelva, España</t>
  </si>
  <si>
    <t>Capitán de Maquinas de la Armada Española</t>
  </si>
  <si>
    <t>Juana Campillo</t>
  </si>
  <si>
    <t>ETB golpea a VOX con El Yunque, Irán y las "tarjetas green" de Santi Abascal</t>
  </si>
  <si>
    <t>https://www.moncloa.com/etb-vox-yunque-iran-abascal/#.XAu3T4TvcCM.twitter</t>
  </si>
  <si>
    <t xml:space="preserve">Valencia. nacida en Covadonga </t>
  </si>
  <si>
    <t>Gran soñadora, sueña por un mundo mejor, que haya paz en él, la historia y monumentos de cada nación sean respetados, las vidas,respeto, respeto ¿existes?</t>
  </si>
  <si>
    <t>Toni</t>
  </si>
  <si>
    <t>Los CDR alentados por Torra toman las carreteras de forma violenta, mientras tanto los competentes en restablecer el orden público están amedrentados por sus mandos golpistas. Necesitamos que se restablezca la legalidad en Cataluña @vox_es @Santi_ABASCAL @Ortega_Smith @policia</t>
  </si>
  <si>
    <t>Barcelona. España</t>
  </si>
  <si>
    <t>Madridismo como forma de vida. Apasionado de los deportes de motor.</t>
  </si>
  <si>
    <t>ACERO AZUL</t>
  </si>
  <si>
    <t>Buenafuente llama "cerdos" a los votantes andaluces de las pasadas elecciones andaluzas.  @Santi_ABASCAL @vox_es @CristinaSegui_ @Ortega_Smith @AzoteCasta @Alternativa_VOX @voxnoticias_es @okdiario @ldpsincomplejos @FrayJosepho</t>
  </si>
  <si>
    <t>https://youtu.be/J0xfknaNOrM</t>
  </si>
  <si>
    <t>SPAIN IS DIFFERENT</t>
  </si>
  <si>
    <t>SI QUIERES QUE ALGO SALGA BIEN HAZLO TU MISMO. Harto de la hipocresia social. Tenemos lo que nos merecemos.</t>
  </si>
  <si>
    <t>Teletubismo ilustrado</t>
  </si>
  <si>
    <t>MANIFIESTO TOD€S: 1.PATRIA = FASCISMO 2.FASICMO = FRANCO 3.FRANCO = VOX 4.VOX = MACHISTA 5.MACHISTA = @Santi_ABASCAL 6.ABASCAL = DICTADOR 7.DICTADOR = ASESINO 8.ASESINO = PISTOLA 9.PISTOLA = MUERTE 10.MUERTE = VIOLENCIA DE GÉNERO @Pablo_Iglesias_ llama a las calles #feminismo</t>
  </si>
  <si>
    <t>Pyongyang</t>
  </si>
  <si>
    <t>NO al pensamiento único, NO a las ideologías y NO a la corrección política: NO AL TELETUBISMO. Si estás de acuerdo: #teletubismo</t>
  </si>
  <si>
    <t>josé maría fortes</t>
  </si>
  <si>
    <t>Aquí Santiaguito @Santi_ABASCAL ,al que "injustamente" tildan de fascista</t>
  </si>
  <si>
    <t>https://pbs.twimg.com/media/Dt5LPo_XQAA_NdB.jpg</t>
  </si>
  <si>
    <t>De Madrid a Málaga</t>
  </si>
  <si>
    <t>@Santi_ABASCAL @vox_es @CristinaSegui_ @Ortega_Smith @AzoteCasta @Alternativa_VOX @voxnoticias_es @okdiario Interesante reflexion sobre el odio en Cataluña hacia lo español. Esto hay que hacerlo ver en toda España y empezar a cambiarlo ya sino es tarde.</t>
  </si>
  <si>
    <t>https://youtu.be/jqF0_n_VVWQ</t>
  </si>
  <si>
    <t>LÓGICO EL INMENSO DOLOR Y RABIA AL PERDERLO POR CULPA DE VOX El 'chiringuito' del PSOE en Andalucía: 24.000 enchufados y un coste de 6.000 millones al año- Libertad Digital | Versión Móvil (mobile)  @Santi_ABASCAL @CasaReal @GeneralDavila @monasterioR</t>
  </si>
  <si>
    <t>https://www.libremercado.com/2018-12-08/el-chiringuito-del-psoe-en-andalucia-24000-enchufados-y-un-coste-de-6000-millones-al-ano-1276629532/</t>
  </si>
  <si>
    <t>GABRIELLE</t>
  </si>
  <si>
    <t>Me gusta la sencillez de @vox_es. A Abascal le puedo llamar Santi. A Monasterio, Rocío; y al Francisco Serrano, el juez Serrano. Son casi de mi familia 🤗🤗🤗</t>
  </si>
  <si>
    <t>Ojo avizor. Gender ideology is evil. Voz a Vox.</t>
  </si>
  <si>
    <t>Más comentados ahora en Derecha/Centro Dcha.: ➀ @Santi_ABASCAL ↓ ➁ @sanchezcastejon ↑ ➂ @rosadiezglez ↓ ➃ @Nanchinho ↑ ➄ @Anonymus_ES ↑ ➅ @ElAguijon_ ↓ ➆ @vox_es ↑ ➇ @Bribon1970 ↑ ➈ @gabrielrufian ↑ ➉ @PSOE ↓</t>
  </si>
  <si>
    <t>Más influyentes ahora en Derecha/Centro Dcha.: ➀ @Santi_ABASCAL ↓ ➁ @rosadiezglez ↓ ➂ @Nanchinho ↑ ➃ @Anonymus_ES ↑ ➄ @ElAguijon_ ↓ ➅ @Bribon1970 ↑ ➆ @elmundoes ↑ ➇ @mcyava ↓ ➈ @FrayJosepho ↓ ➉ @goslum ↓</t>
  </si>
  <si>
    <t>antonio morilla</t>
  </si>
  <si>
    <t>📽 Javier Ruiz desmonta las mentiras de Vox en menos de tres minutos. 👇 Las mentiras de @vox_es al descubierto. Las mentiras de @Santi_ABASCAL y #VoxAbascalTV3 #descubruendo al mentiroso</t>
  </si>
  <si>
    <t>https://www.facebook.com/ahorapodemos/videos/282673195926229/</t>
  </si>
  <si>
    <t xml:space="preserve">Barcelona </t>
  </si>
  <si>
    <t>Comunista de Badalona, Sindicalista de Cobas y activista animalista</t>
  </si>
  <si>
    <t>Luisa Paz</t>
  </si>
  <si>
    <t>Coincido con @vox_es en algunas cosas. En otras no tanto. Les recomiendo este artículo de @quintanapaz para seguir creciendo. Cc: @Santi_ABASCAL @Ortega_Smith RT @quintanapaz: De cómo podría Vox adelantar pronto a Podemos: hoy en ⁦@TheObjective_es⁩ intento explicar la ideología de Vox en el contexto mundial de la nueva derecha, y cómo alguna parte de la misma no solo es poco razonable, sino entorpecerá su auge en España.</t>
  </si>
  <si>
    <t>https://twitter.com/quintanapaz/status/1071007332119793664
http://theobjective.com/elsubjetivo/miguel-angel-quintana-paz/de-como-podria-vox-adelantar-pronto-a-podemos/</t>
  </si>
  <si>
    <t>yolanda</t>
  </si>
  <si>
    <t>Hola, sr @Santi_ABASCAL Podria ud leer esto? Gracias RT @joseansatue: Un estudio desmiente que los inmigrantes sean una carga para el sistema sanitario  vía @20m</t>
  </si>
  <si>
    <t>https://twitter.com/joseansatue/status/1071366370519060480
https://www.20minutos.es/noticia/3510821/0/estudio-desmiente-inmigrantes-sean-carga-sistema-sanitario/?utm_source=twitter.com&amp;utm_medium=socialshare&amp;utm_campaign=mobile_web</t>
  </si>
  <si>
    <t>🎄 •|| нalѕιer ||• 🎄</t>
  </si>
  <si>
    <t>** alguien hace un meme con la foto de Santi Abascal. RT @okdiario: Los separatistas manipulan una foto de @Santi_ABASCAL (@vox_es) para mostrarle besando la tumba de Franco</t>
  </si>
  <si>
    <t>https://twitter.com/okdiario/status/1071321063202701312
https://okdiario.com/espana/2018/12/07/separatistas-manipulan-foto-abascal-mostrarle-besando-tumba-franco-3440935?utm_campaign=ok&amp;utm_medium=Social&amp;utm_source=Twitter#Echobox=1544256188</t>
  </si>
  <si>
    <t>en la mierda</t>
  </si>
  <si>
    <t>✨•| y aunque quemen los libros... |•✨ XIX - XII - MMIII</t>
  </si>
  <si>
    <t>R. Gaab 🇪🇺</t>
  </si>
  <si>
    <t>¿Puede confirmar @Santi_ABASCAL que con @vox_es gobernando con mayoría absoluta aplicaría inmediatamente el 155 y haría que la fiscalía iniciase un proceso contra Torra por rebelión, secesión, y terrorismo? RT @Tsevanrabtan: Un hombre que llama al conflicto armado para lograr la secesión SIGUE siendo presidente de la Generalidad.</t>
  </si>
  <si>
    <t>https://twitter.com/Tsevanrabtan/status/1071356586952720384
https://twitter.com/govern/status/1070715545622847488?s=20</t>
  </si>
  <si>
    <t>Tabarnia</t>
  </si>
  <si>
    <t>I speak in favor of free speech and civil rights. I dislike nationalism, xenophobia and racism. Irony. Punk writer.</t>
  </si>
  <si>
    <t>http://gaab75.blogspot.com</t>
  </si>
  <si>
    <t>Algunos aún no lo han entendido. @Igarrigavaz no es “el negro de Vox”. @monasterioR no es “la mujer de Vox”. @Santi_ABASCAL no es “el vasco de Vox”. Y otros tampoco son “el gay de Vox”. En @vox_es no hay cuotas, no hay colectivización de individuos. Sólo hay personas libres! RT @Igarrigavaz: Entrevista que me realizan en el @elespanolcom desmontando tópicos infundados y lejos de la realidad. ¡España,libertad y valores! Esa es la #EspañaPorVenir</t>
  </si>
  <si>
    <t>https://twitter.com/igarrigavaz/status/1071325628748742657
https://www.elespanol.com/david_lopez_frias/20181208/ignacio-harto-negro-catalan-vox-espanol-racismo/358965111_0.html</t>
  </si>
  <si>
    <t>“IF you can meet with Triumph and Disaster, and treat those two impostors just the same…” El triunfo nunca fue obtener victorias sino defender los valores. VOX</t>
  </si>
  <si>
    <t>Ernesto 🇪🇸</t>
  </si>
  <si>
    <t>2300 afiliaciones a @vox_es en solo 5 días colapsa el sistema informático de afiliación al partido de @Santi_ABASCAL . Una noticia extraordinaria para el partido y, sobre todo para #España 🇪🇸🇪🇸🇪🇸🇪🇸</t>
  </si>
  <si>
    <t>https://pbs.twimg.com/media/Dt5D_LEWsAIAffk.jpg</t>
  </si>
  <si>
    <t>Abogado. Orgulloso de ser español y de derechas. @vox_es</t>
  </si>
  <si>
    <t>📢 Es difícil encontrar alabanzas sobre @Santi_ABASCAL #Vox</t>
  </si>
  <si>
    <t>Maximiano #47% ¿un sol poble?</t>
  </si>
  <si>
    <t>¿Se imaginan lo que pasaría si @Santi_ABASCAL dijese, con publicidad, ALERTA ANTICOMUNISTA y cientos de simpatizantes de @vox_es quemasen mobiliario urbano y se enfrentasen a militantes de @ahorapodemos en las calles?</t>
  </si>
  <si>
    <t>Facha del Reino de España</t>
  </si>
  <si>
    <t>ganar 30.000 euretes con una vivienda de protección oficial no es beneficio, vivir en una mansión no es lujo, dijeron los de @ahorapodemos #IzquierdaCaviar</t>
  </si>
  <si>
    <t>tony_seawillis</t>
  </si>
  <si>
    <t>Entrevista de @Santi_ABASCAL (@vox_es ) con Ana Rosa 05-12-2018  vía @YouTube</t>
  </si>
  <si>
    <t>https://youtu.be/Fwo8zkuXkvo</t>
  </si>
  <si>
    <t>1980. Fan de #Eurovisión. Mi otro twitter es @Eurovisionary80. :) Para comentar acerca de #Eurovisión, #actualidad, ...</t>
  </si>
  <si>
    <t>CARLOS CC</t>
  </si>
  <si>
    <t>Muchos sabemos hacer montajes para reirnos un rato. Lo grave es que el montaje salga de un partido político como Podemos para atacar a @Santi_ABASCAL , dándolo por bueno y sin decir que es un montaje.</t>
  </si>
  <si>
    <t>https://pbs.twimg.com/media/Dt5AWUkXcAA3pAo.jpg</t>
  </si>
  <si>
    <t>SANTANDER (ESPAÑA)</t>
  </si>
  <si>
    <t>https://www.facebook.com/Rebuznometro</t>
  </si>
  <si>
    <t>http://rebuznometro.blogspot.com/</t>
  </si>
  <si>
    <t>lysawao</t>
  </si>
  <si>
    <t>TIPICO DE LA IZMIERDA, AQUI EN LIMA O EN EL TOLIMA.! Son una plaga. España con @Santi_ABASCAL triunfará. Viva @vox_es RT @eduardoinda: Los separatistas manipulan una foto de @Santi_ABASCAL para mostrarle besando la tumba de Franco</t>
  </si>
  <si>
    <t>https://twitter.com/eduardoinda/status/1071311173637861376
https://okdiario.com/espana/2018/12/07/separatistas-manipulan-foto-abascal-mostrarle-besando-tumba-franco-3440935?utm_campaign=inda&amp;utm_medium=Social&amp;utm_source=Twitter#Echobox=1544255375</t>
  </si>
  <si>
    <t>TodEs menos farc, petro y mamertEs. Tengo pene y tengo vulga y no soy un árbol. Y practicante.</t>
  </si>
  <si>
    <t>Jardiner</t>
  </si>
  <si>
    <t>Si hoy no hacéis el brindis de Acuña antes de comer se os aparece Santi Abascal con un látigo y os atiza en el lomo</t>
  </si>
  <si>
    <t>Donde haya un Beefeater</t>
  </si>
  <si>
    <t>Puigdemont, te van a meter en prisión.</t>
  </si>
  <si>
    <t>He aqui el origen 👇👇👇👇👇👇👇👇 @Santi_ABASCAL @Albert_Rivera @pablocasado_ A tener en cuenta....</t>
  </si>
  <si>
    <t>https://okdiario.com/internacional/2018/12/08/iran-amenaza-occidente-diluvio-drogas-refugiados-atentados-si-continuan-sanciones-3441895/amp#click=https://t.co/tzZeOyumEB</t>
  </si>
  <si>
    <t>alive &amp; kicking</t>
  </si>
  <si>
    <t>Málaga al momento</t>
  </si>
  <si>
    <t>El sistema de afiliación de Vox se colapsa. #Málaga #CostaDelSol #Andalucía #España @vox_es @Santi_ABASCAL</t>
  </si>
  <si>
    <t>https://www.diariosur.es/nacional/vox-gana-nuevos-afiliados-tras-elecciones-andalucia-20181207154837-ntrc.html</t>
  </si>
  <si>
    <t>Málaga, España.</t>
  </si>
  <si>
    <t>Cuenta dedicada a la actualidad más relevante de Málaga sin perder de vista lo que pasa en el resto de #España. #Málaga #CostaDelSol #Andalucía @malagaalmomento</t>
  </si>
  <si>
    <t>Ghezireh</t>
  </si>
  <si>
    <t>Montar a caballo, beber agua de un río a pelo, hacer el brindis de los tercios... A @Santi_ABASCAL solo le queda sacar la espada de Excalibur de la roca para que lo coronemos Rey. RT @eduardoinda: Los separatistas manipulan una foto de @Santi_ABASCAL para mostrarle besando la tumba de Franco</t>
  </si>
  <si>
    <t>Santa Elena</t>
  </si>
  <si>
    <t>mariscal de campo</t>
  </si>
  <si>
    <t>Pablo Altam</t>
  </si>
  <si>
    <t>Qué extraño, @pablocasado_, @Pablo_Iglesias_, @Albert_Rivera y @sanchezcastejon no han dicho nada de la Patrona de España y de la Infantería, sólo @Santi_ABASCAL tiene la educación y el respeto que se merce. Viva España, Viva la Inmaculada Concepción, Viva la Infantería</t>
  </si>
  <si>
    <t>https://pbs.twimg.com/media/Dt487-tWkAAu8iu.jpg</t>
  </si>
  <si>
    <t>Quien no haya sido Soldado de Infantería no sabe, que cuando el hombre se lanza, cuando al hombre se le calienta la sangre,lo más difícil es pararlo y enfriarlo</t>
  </si>
  <si>
    <t>Frasier</t>
  </si>
  <si>
    <t>¿Algún periodista sabe si ya han detenido y registrado la casa de este tío para ver si tiene armas como hicieron con el peligrosísimo "Francotirador del Lanzapatatas"? @CristinaSegui_ @Santi_ABASCAL @ldpsincomplejos @MuyLiberal @FrayJosepho @PerdigueroSIPEp @hermanntertsch</t>
  </si>
  <si>
    <t>pic.twitter.com/1BwFykIVvR</t>
  </si>
  <si>
    <t>El RT hay que ganárselo aunque seas un twitstar.</t>
  </si>
  <si>
    <t>DonPablo</t>
  </si>
  <si>
    <t>Hola @Santi_ABASCAL Deberías salir condenando el fascismo y el nazismo e interpelando a @Pablo_Iglesias_ y @pnique a que hagan lo mismo con el comunismo, causante de más de 100 millones de muertos. Les hundes en la miseria Tu no eres fascista,ellos si son comunistas</t>
  </si>
  <si>
    <t>https://pbs.twimg.com/media/Dt47-iXXQAUezDN.jpg</t>
  </si>
  <si>
    <t>Más comentados ahora en Derecha/Centro Dcha.: ➀ @sanchezcastejon ↓ ➁ @Santi_ABASCAL ↓ ➂ @rosadiezglez ↑ ➃ @ElAguijon_ ↑↑ ➄ @PSOE ↑ ➅ @mcyava ↓ ➆ @PPopular ↓ ➇ @FrayJosepho ↓ ➈ @vox_es ↓ ➉ @elmundoes ↓</t>
  </si>
  <si>
    <t>Más influyentes ahora en Derecha/Centro Dcha.: ➀ @Santi_ABASCAL ↓ ➁ @rosadiezglez ↑ ➂ @ElAguijon_ ↑↑ ➃ @mcyava ↓ ➄ @FrayJosepho ↓ ➅ @Anonymus_ES ↓ ➆ @elmundoes ↓ ➇ @goslum ↓ ➈ @eltivipata ↑ ➉ @DaniPintoB ↑</t>
  </si>
  <si>
    <t>Santiago Abascal</t>
  </si>
  <si>
    <t>Felicidades a todos en el día de la Patrona de España y de la Infantería. #PatronaDeEspaña #Infanteria</t>
  </si>
  <si>
    <t>http://www.outono.net/elentir/2018/12/08/el-milagro-de-empel-asi-llego-la-inmaculada-concepcion-a-erigirse-en-patrona-de-espana/?fbclid=IwAR37t6JvYI32KEn8F0Wl22kUnSh2pXY343PbmUc51tt6wwRFf-ts_1LpLdc</t>
  </si>
  <si>
    <t>https://pbs.twimg.com/media/Dt46JVyWoAAHZUn.jpg</t>
  </si>
  <si>
    <t>ESPAÑA</t>
  </si>
  <si>
    <t>Presidente de VOX 🇪🇸 #EspañaLoPrimero</t>
  </si>
  <si>
    <t>https://youtu.be/RaSIX4-RPAI</t>
  </si>
  <si>
    <t>JantoC español</t>
  </si>
  <si>
    <t>Ya lo dijo Abascal, Vox es de extrema necesidad, el punto de partida para recuperar España, de volver a sentirse español de pleno derecho en libertad ANIMO, SANTI RT @jaimeberenguer: @vox_es tiene un futuro muy prometedor por una sencilla razón, es un partido útil a los españoles. Tremendamente útil de hecho, igual que lo fue UPyD. Espero que la oligarquía no acabe con VOX como acabó con UPyD.</t>
  </si>
  <si>
    <t>https://twitter.com/jaimeberenguer/status/1071352728276885504</t>
  </si>
  <si>
    <t>Centro de gravedad permanente</t>
  </si>
  <si>
    <t>ESPAÑOL, ORGULLOSO de serlo, LUCHO contra la miseria moral, anti gentuza ,MADRIDISTA,adoro la NATURALEZA y la BUENA GENTE y enamorado del AMOR y de los SUEÑOS..</t>
  </si>
  <si>
    <t>javier</t>
  </si>
  <si>
    <t>Los separatas atropellan a un anciano al que le acaban rompiendo la cadera en Terrassa. 🔊Estás imágenes no saldrán ni en TV 3 ni la sexta, así que COMPARTID para que todo el mundo lo vea. @Santi_ABASCAL @FSerranoCastro @okdiario #Terrassa #manifestacion #TomaDeProtesta #</t>
  </si>
  <si>
    <t>pic.twitter.com/OvpV8M0MTh</t>
  </si>
  <si>
    <t>👤</t>
  </si>
  <si>
    <t>Alcalde de SanMonteMares #UtServiam  #Lifedemocrat</t>
  </si>
  <si>
    <t>Hace ya 8 años x estas fechas, fundé el partido amarillo. Iniciativas para la reforma de España. @UPYD @vox_es @CiudadanosCs @HablamosE @NNGG_Es @ESPCiudadana @VoltEspana @PSOE @PPopular @ahorapodemos @ManuelaCarmena @Santi_ABASCAL @sanchezcastejon</t>
  </si>
  <si>
    <t>http://elbuenpartido.blogspot.com/2010/12/nace-el-buen-partido.html?m=0</t>
  </si>
  <si>
    <t>SW Europe/NAfrica SPAIN</t>
  </si>
  <si>
    <t>Founder @1GlobalSociety http://sociedadglobal.es My 🌍🌎🌏 view. Looking at today's world Mirando las cosas del mundo, 🇪🇺y 🇪🇸Rt≠agree 🇪🇸🇬🇧🇫🇷🇮🇹</t>
  </si>
  <si>
    <t>http://www.paginasdigital.es/v_portal/apartados/apartado.asp?te=242</t>
  </si>
  <si>
    <t>mipicaenflandes</t>
  </si>
  <si>
    <t>¿Que @Santi_ABASCAL no cedió ante los chantajes de ETA y hoy se ha propuesto arreglar el problema de España? Me representa. ¿Qué político de hoy en día puede ha puesto su vida en "real" peligropor sus ideas, por la democracia, por la libertad y por España? NINGUNO. #VOX #España</t>
  </si>
  <si>
    <t>https://pbs.twimg.com/media/Dt411T8WkAITt3k.jpg</t>
  </si>
  <si>
    <t>El Virginiano</t>
  </si>
  <si>
    <t>Zapatero corrobora lo que dice Errejón sobre que hay comida en abundancia en Venezuela. @CastigadorY @numer344 @Santi_ABASCAL @CasoAislado_Es @rosadiezglez @hermanntertsch @CristinaSegui_ @okdiario @vox_es @realmadrid</t>
  </si>
  <si>
    <t>pic.twitter.com/IqIAWGTLxn</t>
  </si>
  <si>
    <t>Las afiliaciones no es lo más importante sino la responsabilidad de los puestos que ocupen Supongo que @Santi_ABASCAL a estas alturas ya sabe que es muy difícil engañar a un hombre totalmente honrado 😉 RT @FrayJosepho: Cuidado, VOX, con la avalancha de afiliaciones. Se les puede meter en el partido sabe Dios quién. Ciudadanos vivió hace 5 o 6 años parecida situación, y le entró gente como Juan Marín, así que ojo.</t>
  </si>
  <si>
    <t>https://twitter.com/FrayJosepho/status/1071324794526797824</t>
  </si>
  <si>
    <t>La Rana GitanaⓂ️</t>
  </si>
  <si>
    <t>Cortes en la autopista? Un voto más para @vox_es y @Santi_ABASCAL Continuad así.</t>
  </si>
  <si>
    <t>Girona</t>
  </si>
  <si>
    <t>Que cuanto mido? Con la corona o sin? No contesto mensajes privados. Catalana y Española🇪🇸 Moto Gp. Animales. Vox. Irónica.</t>
  </si>
  <si>
    <t>Más comentados ahora en Derecha/Centro Dcha.: ➀ @Santi_ABASCAL ↑ ➁ @sanchezcastejon ↓ ➂ @rosadiezglez ↑ ➃ @gabrielrufian ↑↑ ➄ @vox_es ↓ ➅ @FrayJosepho ↓ ➆ @PPopular ↓ ➇ @mcyava ↑↑ ➈ @Anonymus_ES ↓ ➉ @PSOE ↑</t>
  </si>
  <si>
    <t>Juan Luis Vicente</t>
  </si>
  <si>
    <t>"Por los hechos los conoceréis"... sabías palabras de quién nos iluminó hace dos mil años, que siguen vigentes hoy, y lo seguirán por los tiempos. @hermanntertsch @PerezMaura @diegodelacruz @CristinaSegui_ @carloscuestaEM @Santi_ABASCAL @thecentenator @ivanedlm @Ortega_Smith RT @FrayJosepho: Los partidos constitucionalistas Podemos, PdeCat, ERC, Compromís, Bildu y PNV no asistirán a los actos conmemorativos del cuadragésimo aniversario de la Constitución.</t>
  </si>
  <si>
    <t>https://twitter.com/frayjosepho/status/1070604952203128832</t>
  </si>
  <si>
    <t>Analista independiente que publica sus comentarios personales sobre la actualidad económica y política.</t>
  </si>
  <si>
    <t>Más influyentes ahora en Derecha/Centro Dcha.: ➀ @Santi_ABASCAL ↑ ➁ @rosadiezglez ↑ ➂ @FrayJosepho ↓ ➃ @mcyava ↑↑ ➄ @Anonymus_ES ↓ ➅ @elmundoes ↑↑ ➆ @josepramonbosch ↓ ➇ @pmanglano ↓ ➈ @libre_mercado ↓ ➉ @DaniPintoB ↑</t>
  </si>
  <si>
    <t>LaSevRo</t>
  </si>
  <si>
    <t>Santi Abascal haciendo una flexiones para dar ejemplo y acabar con el sedentarismo de España. Pedazo de candidato. Chapó. RT @danierdecai35: Santi Abascal susurrándole a Franco que él no es de extrema derecha.</t>
  </si>
  <si>
    <t>Cádiz, España</t>
  </si>
  <si>
    <t>👧20. 📚MIM (UCA). Digital art. Diseño gráfico. RBB💚</t>
  </si>
  <si>
    <t>CAMP13NES</t>
  </si>
  <si>
    <t>Primera troleada importante a @vox @Santi_ABASCAL #MeDescojono RT @jordievole: Primero, que no podíamos entrar Luego, que fuéramos a grabar Hemos hecho caso de lo segundo Domingo, VOX en Salvados</t>
  </si>
  <si>
    <t>https://twitter.com/jordievole/status/1071163348039942145</t>
  </si>
  <si>
    <t>pic.twitter.com/BA9tUYKGZa</t>
  </si>
  <si>
    <t>Madridista desde que tengo uso de razón. Mourinhista sin remedio (viva la meritocracia). Defensor a ultranza del Madrid, siempre. #HalaMadrid</t>
  </si>
  <si>
    <t>Realista3.0</t>
  </si>
  <si>
    <t>Vamos que quiere iniciar una guerra; por si fuera de interés... PD:@interiorgob @sanchezcastejon @PoderJudicialEs @fiscal_es @tsj_cat @guardiacivil @policia @Santi_ABASCAL @Albert_Rivera @pablocasado_ RT @govern: #President @QuimTorraiPla: “La Constitució mai serà reformada per la via federal o confederal. L’única manera que Catalunya avanci és seguir la via eslovena: la llibertat”</t>
  </si>
  <si>
    <t>https://twitter.com/govern/status/1070715545622847488</t>
  </si>
  <si>
    <t>il    Giorgietto</t>
  </si>
  <si>
    <t>Igual que Santi Abascal RT @jordiPuignero: "Ladran, luego cabalgamos..." (educadamente y en español, para que se entere bien el sr @jordi_canyas de Cs)</t>
  </si>
  <si>
    <t>https://twitter.com/jordipuignero/status/1071099952280023041
https://twitter.com/jordi_canyas/status/1070940052044345345</t>
  </si>
  <si>
    <t> | España | Italia | France |</t>
  </si>
  <si>
    <t>| Fotohombre; levantado de puntillas para ver el universo | | Fotouomo; alzato in punta di piedi per guardare l’universo | | Storia dell'arte | Fotografía | UB</t>
  </si>
  <si>
    <t>http://esteban.re</t>
  </si>
  <si>
    <t>Despierta Europa ن</t>
  </si>
  <si>
    <t>video muy recomendable , dónde se habla de @Santi_ABASCAL</t>
  </si>
  <si>
    <t>https://youtu.be/oIMxo0mWe0Q</t>
  </si>
  <si>
    <t>Un poco de luz en la manipulación diaria de los medios</t>
  </si>
  <si>
    <t>Irremediablemente Yo...</t>
  </si>
  <si>
    <t>Alguien que le diga a Santi Abascal que vuelvan los serenos, que no me ha sonado la alarma.</t>
  </si>
  <si>
    <t>Barcelona, España , mi queli.</t>
  </si>
  <si>
    <t>Aqui hago fragmentos de guiones que nada tienen que ver conmigo.</t>
  </si>
  <si>
    <t>Jesus Muñoz Malostratosfalsos.com</t>
  </si>
  <si>
    <t>Muy claro Santi Abascal con el tema de la inmigración 👏🏻👏🏻👏🏻</t>
  </si>
  <si>
    <t>https://www.facebook.com/1473550627/posts/10218086978153994/</t>
  </si>
  <si>
    <t>Agradezco a familia y amigos ayudarme contra ex diabólica que uso la LIVG espuriamente con 7 denuncias falsas. Prisión para la ideologa Cruz Sánchez de Lara</t>
  </si>
  <si>
    <t>http://www.malostratosfalsos.com</t>
  </si>
  <si>
    <t>Natalia Alba 🇪🇸</t>
  </si>
  <si>
    <t>La inteligencia de @pnique, nivel mononeural. Con un solo tuit logra que un Sr con #TRES #MILLONES y #MEDIO de seguidores publicite a @Santi_ABASCAL. 🤣🤣🤣</t>
  </si>
  <si>
    <t>https://pbs.twimg.com/media/Dt4mQKtWwAAZAbd.jpg</t>
  </si>
  <si>
    <t>Madrid~ (España)</t>
  </si>
  <si>
    <t>Habla siempre con su propia voz, incluso a extraños. Es salvaje e inocente, aferrada al amor en todo naufragio. ~Robert Graves</t>
  </si>
  <si>
    <t>Pilar</t>
  </si>
  <si>
    <t>Ésta es la auténtica clave de las tonterías que dice diariamente la prensa y que Santi Abascal (al menos con Carlos Herrera) no supo refutar. RT @davidparrago: @pirlosantos Añado q proponer cualquier reforma de la CE por los cauces en ella previstos no te convierte en "anticonstitucional" o "inconstitucional", según ese argumento bobo todos los profesores de Constitucional que conozco o he leído son "inconstitucionales", en fin</t>
  </si>
  <si>
    <t>https://twitter.com/davidparrago/status/1071333586840838144</t>
  </si>
  <si>
    <t>Madrid, Spain</t>
  </si>
  <si>
    <t>Liberal. Fui subcampeona mundial de debate en 2015 y ahora enseño a otros a comer cocos. Estratega con Start-ups en Madrid y en política en Barcelona. 🇪🇸</t>
  </si>
  <si>
    <t>juan laderas.</t>
  </si>
  <si>
    <t>Las mentiras de #Vox Un partido de extrema derecha que únicamente miente y manipula para tener votos. #votos #inmigración #ViolenciaDeGenero Con información se desmonta el engaño de @Santi_ABASCAL y sus fascistas de @vox_es #fascistasno ni aquí ni en ningún lugar. RT @CervantesFAQs: Las MENTIRAS de @vox_es sobre sus votantes, la inmigración y violencia de género desmontadas en apenas 3 minutos 👇 ¡DIFUNDE!</t>
  </si>
  <si>
    <t>https://twitter.com/CervantesFAQs/status/1071142892469710848</t>
  </si>
  <si>
    <t>pic.twitter.com/5Rv54qxvWB</t>
  </si>
  <si>
    <t>Bilbao / Bizkaia.</t>
  </si>
  <si>
    <t>Los ojos no sirven de nada a un cerebro ciego. #Música vs #Deporte. Conexión La Mancha - Madrid - Girona - Bilbao.</t>
  </si>
  <si>
    <t>Carmen Torres</t>
  </si>
  <si>
    <t>Imprescindible para entender a @Santi_ABASCAL. Euskadi, la tierra que esculpió al líder de Vox. Por @mikelsegoviac  vía @indpcom</t>
  </si>
  <si>
    <t>https://www.elindependiente.com/politica/2018/12/08/euskadi-la-tierra-que-esculpio-al-lider-de-vox-santiago-abascal/?utm_source=share_buttons&amp;utm_medium=twitter&amp;utm_campaign=social_share</t>
  </si>
  <si>
    <t>Periodista en El Independiente. Información política. Cuenta personal.</t>
  </si>
  <si>
    <t>http://www.elindependiente.com/autor/carmen-torres/</t>
  </si>
  <si>
    <t>Max Pradera</t>
  </si>
  <si>
    <t>Han llegado los curanderos salvaespañas. @Santi_ABASCAL es el Dr. Rosado de la política, uno que decía que se podía remediar la asfixia apagando cigarrillos en la cabeza del moribundo, RT @ahorapodemos: 📽️ Javier Ruiz (@Ruiz_Noticias) desmonta las mentiras de Vox en menos de tres minutos. 👇</t>
  </si>
  <si>
    <t>https://twitter.com/ahorapodemos/status/1071107478820188160</t>
  </si>
  <si>
    <t>pic.twitter.com/Q0rP8VUGoV</t>
  </si>
  <si>
    <t>Ubi libertas, ibi patria</t>
  </si>
  <si>
    <t>Opinión https://goo.gl/DJQf42 Radio https://goo.gl/i8Nj6a Postureo https://goo.gl/V4VHgA Blog https://goo.gl/Umi346 Gelinek https://goo.gl/xbDTSj</t>
  </si>
  <si>
    <t>http://www.lecturalia.com/autor/2983/joseph-gelinek</t>
  </si>
  <si>
    <t>Catalina de Erauso</t>
  </si>
  <si>
    <t>¿Tiene usted algo que decir sobre esto @Santi_ABASCAL en el 20 aniversario de su asesinato? @Zurine3</t>
  </si>
  <si>
    <t>https://www.youtube.com/watch?time_continue=1&amp;v=Prmnr8VM4MA</t>
  </si>
  <si>
    <t>Pelo cortado a motosierra</t>
  </si>
  <si>
    <t>Ecología, geología, DDHH, política y el genocidio Yazidí. Doy el premio de #GarbanzoNegroDeTuiter a todo el que se lo merezca. redaccion@elhuron.online</t>
  </si>
  <si>
    <t>https://elhuron.net/category/opinion/catalina-de-erauso/</t>
  </si>
  <si>
    <t>ETB</t>
  </si>
  <si>
    <t>¡Buenos días! Anoche volvimos a emitir el reportaje sobre @vox_es y @Santi_ABASCAL. Lo tenéis disponible en #Alacarta  @EiderHurtado #360Vox</t>
  </si>
  <si>
    <t>https://www.eitb.tv/es/video/360/5937/150812/vox-la-ambicion-de-santiago-abascal/</t>
  </si>
  <si>
    <t>https://pbs.twimg.com/media/Dt4flW4WkAEaOJC.jpg</t>
  </si>
  <si>
    <t>Euskal Herria</t>
  </si>
  <si>
    <t>Euskal Telebista. Televisión vasca. ETB-1, ETB-2, ETB-3, ETB-4, Canal Vasco, ETBSat. Ezagutu EiTB Nahieran | También a la carta: http://www.eitb.tv/</t>
  </si>
  <si>
    <t>http://www.eitb.eus/</t>
  </si>
  <si>
    <t>Irek 🏳‍🌈 #AltsasukoakASKE</t>
  </si>
  <si>
    <t>El perfil de derechos humanos, Santi Abascal, Toni Cantó, Javier Maroto, HazteOir o Dalas Review por ejemplo. RT @JavierLezaola: ¿De qué bloqueos estáis más orgullosos? Yo de los de Cani Tontó, Girauta, el obispo Demetrio y Llamazares</t>
  </si>
  <si>
    <t>https://twitter.com/JavierLezaola/status/1071064865362640897</t>
  </si>
  <si>
    <t xml:space="preserve">Gasteiz  (EUSKAL HERRIA) </t>
  </si>
  <si>
    <t>No me llaméis terrorista por nacer vasco. Nacer aquí es de orgullo y no de asco. instagram: @euskalgazte.</t>
  </si>
  <si>
    <t>AT</t>
  </si>
  <si>
    <t>Manifestarse es un derecho. Destrozar la propiedad privada y pública NO LO ES. Apliquemos este vídeo frances a nuestros amigos FASCISTAS SEPARATISTAS CDR. @sanchezcastejon Ponte las pilas Sánchez, esto va de mal en peor. @Santi_ABASCAL @Albert_Rivera @pablocasado_ RT @gouvernementFR: Manifester est un droit. Alors sachons l’exercer.</t>
  </si>
  <si>
    <t>https://twitter.com/gouvernementfr/status/1070963833009782784</t>
  </si>
  <si>
    <t>https://pbs.twimg.com/media/Dtv4NTjXcAEm5uP.jpg</t>
  </si>
  <si>
    <t>Más comentados ahora en Derecha/Centro Dcha.: ➀ @Santi_ABASCAL ↑ ➁ @rosadiezglez ↓ ➂ @sanchezcastejon ↑ ➃ @FrayJosepho ↑ ➄ @vox_es ↑ ➅ @PPopular ↑↑ ➆ @Anonymus_ES ↑ ➇ @ahorapodemos ↑↑ ➈ @ElAguijon_ ↑↑</t>
  </si>
  <si>
    <t>Más influyentes ahora en Derecha/Centro Dcha.: ➀ @Santi_ABASCAL ↑ ➁ @rosadiezglez ↓ ➂ @FrayJosepho ↑ ➃ @Anonymus_ES ↑ ➄ @ElAguijon_ ↑↑ ➅ @josepramonbosch ↑ ➆ @libre_mercado ↑ ➇ @PabloSez ↓ ➈ @ladycrocs ↓ ➉ @Velherro ↓</t>
  </si>
  <si>
    <t>Echeminga Dominga 👋🇪🇸</t>
  </si>
  <si>
    <t>Pues yo lo que veo lamentable es que @Santi_ABASCAL se viera obligado a llevar pistola para intentar evitar q le asesinasen los hijos de la gran puta de ETA amigos de este retrasado mental argentino, a ver si se lo llevan ahora los hinchas de Boca o River de vuelta a su puto país</t>
  </si>
  <si>
    <t>pic.twitter.com/29JoJxcjsd</t>
  </si>
  <si>
    <t>Zárágózá</t>
  </si>
  <si>
    <t>Echeminga, ese podemita llegado a Aragón desde Argentina. Pudo emigrar a democracias puras como Cuba o Venezuela pero optó x una dictadura fascista como España.</t>
  </si>
  <si>
    <t>L.A Fernández Alamo</t>
  </si>
  <si>
    <t>El vídeo que todo español debería ver. Por reportajes como este me hacen confiar más en @Santi_ABASCAL. Un político con vocación que sirve al pueblo y a su país.</t>
  </si>
  <si>
    <t>Bramido Nacional / #PorEspaña Hay un un camino a la derecha. Católico por encima de todo ☧</t>
  </si>
  <si>
    <t>VOXAsturiAndres</t>
  </si>
  <si>
    <t>#PP$OE y @ForoAsturias planean para luchar en las urnas contra el empuje de @vox . @vox_es @Santi_ABASCAL . @elcomerciodigit @madrid_vox @VOXgijon @vox_barcelona @ldpsincomplejos @elespanolcom @monasterioR @FrayJosepho @JMPF9 @vox_asturias @Alternativa_VOX</t>
  </si>
  <si>
    <t>https://pbs.twimg.com/media/Dt4dWLsX4AAtFIC.jpg</t>
  </si>
  <si>
    <t>voxasturiasandres@gmail.com</t>
  </si>
  <si>
    <t>Juanjo Sánchez</t>
  </si>
  <si>
    <t>Pues habrá que cercenar la conciencia extrema de esas seguidoras del diablo. El modo: @vox_es @Vox_Andalucia @Santi_ABASCAL @FSerranoCastro RT @libre_mercado: El acoso a Rocío Monasterio (VOX): "Las feministas me han amenazado de muerte"</t>
  </si>
  <si>
    <t>https://twitter.com/libre_mercado/status/1071308917622231041
http://dlvr.it/Qt6xTb</t>
  </si>
  <si>
    <t>Madrid, BCN, Sevilla y Cádiz.</t>
  </si>
  <si>
    <t>🇪🇸 🇪🇺#Conferenciante 🇺🇸 #AutorLiterario #Comunicador 🌏🌎🌍#librepensador #Literatura✍ #Cultura #DDHH 🇨🇺 🇻🇪 #VTC 💰 Pueden seguirme en: @LaVozDeCoffee</t>
  </si>
  <si>
    <t>https://about.me/juanjosesanchezrabaneda</t>
  </si>
  <si>
    <t>John Henry Kurtz</t>
  </si>
  <si>
    <t>Otegui, el demócrata. @Santi_ABASCAL el facha...</t>
  </si>
  <si>
    <t>https://pbs.twimg.com/media/Dt4bxw6WoAAwOmr.jpg</t>
  </si>
  <si>
    <t>Barcelona (Tabarnia) España</t>
  </si>
  <si>
    <t>El lado cómico de la Watchtower</t>
  </si>
  <si>
    <t>http://johnhenrykurtz.blogspot.com.es/</t>
  </si>
  <si>
    <t>Mr Drugo</t>
  </si>
  <si>
    <t>La Leticia está haciendo todo lo posible para llevarse el premio a la persona más detestable del año. Como premio un mes con Santi Abascal y Bertín Osborne en una casa de 20 metros cuadrados sin ventanas. RT @LeticiaDolera: Ya he llamado a Morgan Freeman para disculparme. Se ha quedado mucho más tranquilo. #todobien</t>
  </si>
  <si>
    <t>https://twitter.com/LeticiaDolera/status/1071090793560051714</t>
  </si>
  <si>
    <t>Vancouver, British Columbia</t>
  </si>
  <si>
    <t>http://www.fbi.gov/wanted/topten</t>
  </si>
  <si>
    <t>Víctor Sánchez 🇪🇸</t>
  </si>
  <si>
    <t>Como bien ha dicho un tertuliano Sánchez es capaz de todo con tal de seguir 1 segundo más en #Moncloa.Con tal de seguir de Presidente y pasearse en el Falcon es capaz de acabar los actos del @PSOE con el Himno de España y abrazarse a @Santi_ABASCAL como ha dicho @ldpsincomplejos</t>
  </si>
  <si>
    <t>Ingeniero Industrial🌍-Cuando el fanatismo ha gangrenado el cerebro la enfermedad es casi incurable-Voltaire #LaRevolucióndelosBalcones 🇪🇸 RT≠estar de acuerdo</t>
  </si>
  <si>
    <t>VILLA 🔽</t>
  </si>
  <si>
    <t>25 cosas de Santi Abascal. Una persona normal, que lleva una pipa por la calle.</t>
  </si>
  <si>
    <t>https://pbs.twimg.com/media/Dt4ZMmkXcAAFTJU.jpg</t>
  </si>
  <si>
    <t>Alicante, España</t>
  </si>
  <si>
    <t>Que mi voz suba a los montes y baje a la tierra y truene . M.H</t>
  </si>
  <si>
    <t>OKDIARIO</t>
  </si>
  <si>
    <t>Los separatistas manipulan una foto de @Santi_ABASCAL (@vox_es) para mostrarle besando la tumba de Franco</t>
  </si>
  <si>
    <t>https://okdiario.com/espana/2018/12/07/separatistas-manipulan-foto-abascal-mostrarle-besando-tumba-franco-3440935?utm_campaign=ok&amp;utm_medium=Social&amp;utm_source=Twitter#Echobox=1544256188</t>
  </si>
  <si>
    <t>El sitio de los inconformistas. Dirigido por @eduardoinda. Síguenos en Facebook: http://facebook.com/okdiario.</t>
  </si>
  <si>
    <t>http://okdiario.com/</t>
  </si>
  <si>
    <t>Frodo Toston</t>
  </si>
  <si>
    <t>Ya queda poco para ver a Santi Abascal con su esVOXtica correspondiente</t>
  </si>
  <si>
    <t>Road to Mordor</t>
  </si>
  <si>
    <t>A mi, no se me caen los anillos... Bad twinsquik a tiempo completo! 🥛🍫</t>
  </si>
  <si>
    <t>𝕴𝖛𝖆𝖓 𝕻𝖑𝖛𝖘 𝖁𝖑𝖙𝖗𝖆 🇪🇸</t>
  </si>
  <si>
    <t>Si llega a ser @Santi_ABASCAL quien lo hubiera hecho... 📰 "podemita que dice que va a salir a "matar fascistas" se fotografía con Teresa Rodríguez" #EspañaViva #VOXAvanza #España #Podemos</t>
  </si>
  <si>
    <t>https://okdiario.com/espana/andalucia/2018/12/07/podemita-que-dice-que-va-salir-matar-fascistas-fotografia-teresa-rodriguez-3437549/amp</t>
  </si>
  <si>
    <t>Queriendo que España vuelva a ser grande! 🇪🇸❎ Algunas aclaraciones sobre mi perfil de Twitter 👉 https://telegra.ph/Aclaraciones-sobre-mi-perfil-de-Twitter-12-05</t>
  </si>
  <si>
    <t>Adrián GV</t>
  </si>
  <si>
    <t>A ver si ahora @Pablo_Iglesias_ va a ser también el culpable del Tsunami de Fukusima muchacho. @Santi_ABASCAL RT @Santi_ABASCAL: Dijimos que señalábamos a Pablo Iglesias como instigador de este clima de odio y de las agresiones que se produjeran...y hoy lo reiteramos. ¿Hasta cuándo van a a seguir los comunistas podemitas rompiendo la convivencia?</t>
  </si>
  <si>
    <t>https://twitter.com/Santi_ABASCAL/status/1071166776011055105
https://twitter.com/libertaddigital/status/1071126968064589824</t>
  </si>
  <si>
    <t>-Hay una leyenda que recorre el mundo entero- RBB. 4.💜 Eternos🍀☀🌜.</t>
  </si>
  <si>
    <t>Ke Les Den</t>
  </si>
  <si>
    <t>Ánimo @vox_es @Santi_ABASCAL @Ortega_Smith . Esto no ha hecho más que comenzar.</t>
  </si>
  <si>
    <t>https://okdiario.com/espana/2018/12/08/vox-crecera-grandes-ciudades-mas-inmigracion-ganara-mas-voto-izquierda-3431265</t>
  </si>
  <si>
    <t>Opino lo que me da la real gana. VIVA ESPAÑA, VIVA EL REY, VIVA LA GUARDIA CIVIL Y VIVA LA CONSTITUCION ESPAÑOLA (en particular el Art 155 AHORA MAS QUE NUNCA)</t>
  </si>
  <si>
    <t>Manuel Bolaños</t>
  </si>
  <si>
    <t>No se pierdan al invitado de excepción. Historia de España que padres e hijos desconocen y que sin embargo sí les llega como la peste la versión del falso genocidio español tras el descubrimiento @Santi_ABASCAL RT @MilenioWeb_: Aquí puedes ver y leer el resumen de la mesa redonda que organizamos en #Granada el pasado 26 de noviembre coincidiendo con el 514 aniversario de la muerte de Isabel la Católica</t>
  </si>
  <si>
    <t>https://twitter.com/MilenioWeb_/status/1069641880063881223
https://www.milenioweb.es/isabel-la-catolica-sento-las-bases-del-primer-estado-moderno-de-europa/</t>
  </si>
  <si>
    <t>https://pbs.twimg.com/media/DtggmcBW0AIR-5e.jpg</t>
  </si>
  <si>
    <t>Las Palmas de GC</t>
  </si>
  <si>
    <t>Tuitero moderado, irreductible culé, mejor padre, amante de la ortografía y del sentido común que viene a ser lo mismo. Son tiempos de banderas. Siempre UD 💛💙</t>
  </si>
  <si>
    <t>Serge</t>
  </si>
  <si>
    <t>Esto sí es para sacar las banderas a los balcones y hacer una manifestación total en España de repulsa y de unidad, por qué no se hace? @vox_es @Santi_ABASCAL @pablocasado_ @ahorapodemos @Pablo_Iglesias_ @ierrejon @sanchezcastejon @Albert_Rivera</t>
  </si>
  <si>
    <t>https://m.publico.es/economia/2071704/la-corrupcion-hace-que-espana-pierda-mas-90000-millones-al-ano</t>
  </si>
  <si>
    <t>Madrid</t>
  </si>
  <si>
    <t>La mejor victoria es vencer sin combatir</t>
  </si>
  <si>
    <t>Diego J González</t>
  </si>
  <si>
    <t>No mas @Santi_ABASCAL RT @manelmarquez: - ¿Os acordáis de aquella vez que se acabó con el #fascismo y el #Nazismo negociando? - ¿No? - ¡Yo tampoco!</t>
  </si>
  <si>
    <t>https://twitter.com/manelmarquez/status/1071302528615223296</t>
  </si>
  <si>
    <t>pic.twitter.com/Uwe0v7FF4A</t>
  </si>
  <si>
    <t>Granada, España</t>
  </si>
  <si>
    <t>Primero conquistaremos Manhatan, then we take Berlin.</t>
  </si>
  <si>
    <t>http://diegojgonzalez.com/</t>
  </si>
  <si>
    <t>Teodoro Del Valle 🇪🇸</t>
  </si>
  <si>
    <t>ESTO ES LO QUE HACE LA JUNTA DE ANDALUCÍA DISCRIMINAR A LOS ESPAÑOLES 💪🇪🇸 @santi_abascal @RocioMonasterio @ivanedlm javierortegasmith #EspañaViva #voxavanza</t>
  </si>
  <si>
    <t>https://www.instagram.com/p/BrHnbcVAoyA/?utm_source=ig_twitter_share&amp;igshid=e6794f3v4f5b</t>
  </si>
  <si>
    <t>Madrid 🇪🇸</t>
  </si>
  <si>
    <t>Cansado de una España sin futuro ni gloria 🇪🇸 https://www.facebook.com/TeodoroDelValleVox</t>
  </si>
  <si>
    <t>http://Instagram.com/teodorovox</t>
  </si>
  <si>
    <t>Liberal Enfurruñada</t>
  </si>
  <si>
    <t>Imaginaos que se hubiera fotografiado con @Santi_ABASCAL ¿Qué estarían diciendo ahora todos los medios que ocultan la noticia porque es podemita? RT @MuyLiberal: El podemita que dice que va a salir a "matar fascistas" se fotografía con Teresa Rodríguez</t>
  </si>
  <si>
    <t>https://twitter.com/muyliberal/status/1070932376228904960
https://okdiario.com/espana/andalucia/2018/12/07/podemita-que-dice-que-va-salir-matar-fascistas-fotografia-teresa-rodriguez-3437549#.XAoXFhJBq6c.twitter</t>
  </si>
  <si>
    <t>Por la libertad, así como por la honra, se puede y debe aventurar la vida. @okdiario https://www.facebook.com/muyliberal Frases Liberales: https://goo.gl/5dpESU</t>
  </si>
  <si>
    <t>https://okdiario.com/autor/liberal</t>
  </si>
  <si>
    <t>Inside Consultoría</t>
  </si>
  <si>
    <t>Cada vez que un gañán suelta por su boca un "fascista", surgen 3 nuevos afiliados en @vox_es que se identifican con las palabras y los actos de @Santi_ABASCAL. Seguid así figuras, que pronto tendremos a Santiago en el gobierno. 👏👏👏👏</t>
  </si>
  <si>
    <t>La mano que mece la cuna. No os relajéis, os vigilo en la sombra. Gestión deportiva.</t>
  </si>
  <si>
    <t>Ochoqueochentayuno</t>
  </si>
  <si>
    <t>La extrema izquierda manipula a los que llaman extrema derecha. Fotomontaje de @Santi_ABASCAL de @vox_es Manipuladores!!!</t>
  </si>
  <si>
    <t>https://pbs.twimg.com/media/Dt4ScvOX4AIcEOT.jpg</t>
  </si>
  <si>
    <t>A mi me da igual todo. Ni de izquierdas ni de derechas. Ni del Barsa...ni del Atlético. Ni moro ni cristiano. Ni chicha ni limoná</t>
  </si>
  <si>
    <t>Más comentados ahora en Derecha/Centro Dcha.: ➀ @Santi_ABASCAL ↓ ➁ @sanchezcastejon ↑↑ ➂ @rosadiezglez ↑↑ ➃ @gabrielrufian ↓ ➄ @FrayJosepho ↑↑ ➅ @vox_es ↑ ➆ @agarzon ↑↑↑ ➇ @yolandacmorin ↑ ➈ @libre_mercado ↑</t>
  </si>
  <si>
    <t>Oscar Alfredo</t>
  </si>
  <si>
    <t>El líder de VOX, Santi Abascal, pone a Pablo Echenique en su sitio. Venga Echenique, vete a por otra - El Diestro</t>
  </si>
  <si>
    <t>https://www.eldiestro.es/2018/10/el-lider-de-vox-santi-abascal-pone-a-pablo-echenique-en-su-sitio-venga-echenique-vete-a-por-otra/</t>
  </si>
  <si>
    <t>Más influyentes ahora en Derecha/Centro Dcha.: ➀ @Santi_ABASCAL ↓ ➁ @rosadiezglez ↑↑ ➂ @FrayJosepho ↑↑ ➃ @yolandacmorin ↑ ➄ @Anonymus_ES ↓ ➅ @libre_mercado ↑ ➆ @josepramonbosch ↑ ➇ @DaniPintoB ↑ ➈ @mcyava ↓</t>
  </si>
  <si>
    <t>Eduardo Inda</t>
  </si>
  <si>
    <t>Los separatistas manipulan una foto de @Santi_ABASCAL para mostrarle besando la tumba de Franco</t>
  </si>
  <si>
    <t>https://okdiario.com/espana/2018/12/07/separatistas-manipulan-foto-abascal-mostrarle-besando-tumba-franco-3440935?utm_campaign=inda&amp;utm_medium=Social&amp;utm_source=Twitter#Echobox=1544255375</t>
  </si>
  <si>
    <t>Director de @OKDIARIO</t>
  </si>
  <si>
    <t>https://www.facebook.com/indaok/</t>
  </si>
  <si>
    <t>Bernabé3velez</t>
  </si>
  <si>
    <t>Y digo yo: si después de 36 años gobernando la izquierda ahora sale la derecha supuestamente radical, algo se habría echo mal,no? #nocritiquessindejarlaactuar @vox_es @Santi_ABASCAL #porelfuturodeEspaña</t>
  </si>
  <si>
    <t>Almería, España</t>
  </si>
  <si>
    <t>Amante de los Animales, especialmente de los Perros y los Caballos!!! Enamorado de mi Mujer y de la vida!!</t>
  </si>
  <si>
    <t>Trendinalia España</t>
  </si>
  <si>
    <t>Los 20 tuits más RTs de @gabrielrufian @joninarritu @jordi_canyas @rosadiezglez @santi_abascal @jorditurull @agarzon @manuelacarmena @inesarrimadas @marta_sibina @quimforn @tonicanto1 @pablo_iglesias_ @albanodante76 @joseprull el viernes 7 de diciembre</t>
  </si>
  <si>
    <t>https://twitter.com/trendinaliaES/timelines/1071285280697544714</t>
  </si>
  <si>
    <t>Las tendencias de Twitter, Google y YouTube en la geografía española — #trndnl</t>
  </si>
  <si>
    <t>http://trendinalia.com/twitter-trending-topics/spain/</t>
  </si>
  <si>
    <t>Unoquenosabe</t>
  </si>
  <si>
    <t>Que bueno el @salvadostv de @jordievole quitando la careta a la gente como @Santi_ABASCAL del psudopartido @vox_es</t>
  </si>
  <si>
    <t>Indal42</t>
  </si>
  <si>
    <t>¿@Santi_ABASCAL se va a suicidar o es que a partir de ahora vivirá del aire? RT @CasoAislado_Es: ¡Se acabaron los chupópteros! @Santi_ABASCAL ha dejado claro que el objetivo de @vox_es es suprimir todos los cargos políticos inútiles que solamente sirven para vaciar las arcas públicas de Andalucía.</t>
  </si>
  <si>
    <t>https://twitter.com/casoaislado_es/status/1071161064635711489
https://casoaislado.com/se-acabaron-los-chupopteros-vox-anuncia-que-suprimira-los-cargos-politicos-inutiles-en-andalucia/</t>
  </si>
  <si>
    <t>Almería</t>
  </si>
  <si>
    <t>Francotwitteador republicano en la batalla por la decencia, la honestidad y la verdad.</t>
  </si>
  <si>
    <t>Más comentados ahora en Derecha/Centro Dcha.: ➀ @Santi_ABASCAL ↑ ➁ @rosadiezglez ↑ ➂ @sanchezcastejon ↑ ➃ @vox_es ↓ ➄ @josepramonbosch ↓ ➅ @FrayJosepho ↓ ➆ @DaniPintoB ↓ ➇ @PPopular ↑ ➈ @Anonymus_ES ↑↑</t>
  </si>
  <si>
    <t>Más influyentes ahora en Derecha/Centro Dcha.: ➀ @Santi_ABASCAL ↑ ➁ @rosadiezglez ↑ ➂ @josepramonbosch ↓ ➃ @FrayJosepho ↓ ➄ @DaniPintoB ↓ ➅ @Anonymus_ES ↑↑ ➆ @romancendoya ↑ ➇ @mcyava ↑ ➈ @sergiobarcelona ↑</t>
  </si>
  <si>
    <t>The Huelva York Times</t>
  </si>
  <si>
    <t>Nuestro humorista gráfico nos envía su dibujo del sábado. "VOX ESPONJA" -VIVA ESPAÑA, VIVA EL REY, VIVA EL ORDEN Y LA LEY- @Santi_ABASCAL @pablocasado_ @Albert_Rivera @vox_es @PPopular @PSOE #FelizSábado #FelizFinde #Vox</t>
  </si>
  <si>
    <t>https://pbs.twimg.com/media/Dt4AllGWwAAVZjw.jpg</t>
  </si>
  <si>
    <t>Huelva York</t>
  </si>
  <si>
    <t>Información local, nacional, internacional e interestelar.</t>
  </si>
  <si>
    <t>LexTresAbogados</t>
  </si>
  <si>
    <t>#España 👉 La foto falsa de Santi_ABASCAL de la que todo el mundo habla.</t>
  </si>
  <si>
    <t>http://lrzn.es/alfz75</t>
  </si>
  <si>
    <t>https://pbs.twimg.com/media/Dt353_AWwAE3Osb.jpg</t>
  </si>
  <si>
    <t>Valencia, España</t>
  </si>
  <si>
    <t>#LexTresAbogados prestamos: #servicios de #auditoría #asesoramiento #legal #fiscal #Laboral #financiero y de #negocio con una clara #focalización #sectorial</t>
  </si>
  <si>
    <t>http://www.lextres.com</t>
  </si>
  <si>
    <t>La Razón</t>
  </si>
  <si>
    <t>#España 👉 La foto falsa de @Santi_ABASCAL de la que todo el mundo habla.</t>
  </si>
  <si>
    <t>https://pbs.twimg.com/media/Dt33liFX4AAtX-e.jpg</t>
  </si>
  <si>
    <t>Cuenta oficial del diario LA RAZÓN. RT y HT no significan necesariamente acuerdo. http://facebook.com/larazon.es http://instagram.com/larazon.es/</t>
  </si>
  <si>
    <t>http://www.larazon.es</t>
  </si>
  <si>
    <t>Más comentados ahora en Derecha/Centro Dcha.: ➀ @Santi_ABASCAL ↑ ➁ @rosadiezglez ↑ ➂ @sanchezcastejon ↑ ➃ @vox_es ↑↑ ➄ @PSOE ↑↑ ➅ @FrayJosepho ↑↑ ➆ @gabrielrufian ↑↑ ➇ @josepramonbosch ↑ ➈ @mcyava ↑↑ ➉ @PPopular ↑↑</t>
  </si>
  <si>
    <t>Max Rockatansky</t>
  </si>
  <si>
    <t>Hay unos 100.000 funcionaros de la Junta que tienen que ir a la calle, porque si no el nuevo gobierno se encontrará con una maraña de intereses y de corruptelas del @PSOE que impedirá cambiar NADA. @Vox_es @PPopular @CiudadanosCs @Santi_ABASCAL @Ortega_Smith</t>
  </si>
  <si>
    <t>Queensland, Australia</t>
  </si>
  <si>
    <t>Mi nombre es Max. Mi mundo es fuego. Y sangre.</t>
  </si>
  <si>
    <t>Agosan</t>
  </si>
  <si>
    <t>Hola @vox_es @Santi_ABASCAL @Ortega_Smith Parece que Ébola os quiere hacer un retrato de ciencia ficción. Apuesto a que será difamatorio. Estad atentos. RT @jordievole: Primero, que no podíamos entrar Luego, que fuéramos a grabar Hemos hecho caso de lo segundo Domingo, VOX en Salvados</t>
  </si>
  <si>
    <t>Catalonia (Spain)</t>
  </si>
  <si>
    <t>Algunos sueñan con una Cataluña independiente y arruinada; yo anhelo una Cataluña próspera e interdependiente en España https://youtu.be/SKsMfI0cy7U</t>
  </si>
  <si>
    <t>https://youtu.be/nXGkBbWwVlE</t>
  </si>
  <si>
    <t>Más influyentes ahora en Derecha/Centro Dcha.: ➀ @Santi_ABASCAL ↑ ➁ @rosadiezglez ↑↑ ➂ @FrayJosepho ↑↑ ➃ @josepramonbosch ↑ ➄ @PEPEROES1972 ↑ ➅ @mcyava ↑ ➆ @libertaddigital ↑ ➇ @elmundoes ↓↓ ➈ @Dianalvarez4 ↑↑</t>
  </si>
  <si>
    <t>La sentencia de los EREs falsos se emitirá ahora con mayor libertad. Y esperamos que a partir de ella Susana Díaz inicie el camino de la cárcel. Lo contrario sería un ejemplo muy malo para los políticos que la sucedan. @Vox_es @Santi_ABASCAL @PSOE</t>
  </si>
  <si>
    <t>Dr. 🖖</t>
  </si>
  <si>
    <t>Las mentiras tienen las patas muy cortas, como el CI de los votantes de @Santi_ABASCAL RT @CervantesFAQs: Las MENTIRAS de @vox_es sobre sus votantes, la inmigración y violencia de género desmontadas en apenas 3 minutos 👇 ¡DIFUNDE!</t>
  </si>
  <si>
    <t>CataluNYa</t>
  </si>
  <si>
    <t>Doctorado en RRSS por la Universidad de Miskatonic - Máster en Twitter por la @urjc | #NiOblitNiPerdó #RCDE #antifascista #NOindependentista</t>
  </si>
  <si>
    <t>gatopapa</t>
  </si>
  <si>
    <t>Los separatistas manipulan una foto de Abascal para mostrarle besando la tumba de Franco  No tienen ( los Catalufos ) Cojones de de confrontar con Santi Abascal Bravo por VOX.</t>
  </si>
  <si>
    <t>https://okdiario.com/espana/2018/12/07/separatistas-manipulan-foto-abascal-mostrarle-besando-tumba-franco-3440935#.XAtQmhiBsUg.twitter</t>
  </si>
  <si>
    <t>Orgulloso de ser español</t>
  </si>
  <si>
    <t>Más comentados ahora en Derecha/Centro Dcha.: ➀ @Santi_ABASCAL ↓ ➁ @rosadiezglez ↓ ➂ @sanchezcastejon ↓ ➃ @elmundoes ↑ ➄ @ahorapodemos ↑↑ ➅ @romancendoya ↑ ➆ @Anonymus_ES ↑ ➇ @Ruiz_Noticias ↑ ➈ @FrayJosepho ↓</t>
  </si>
  <si>
    <t>Más influyentes ahora en Derecha/Centro Dcha.: ➀ @Santi_ABASCAL ↓ ➁ @rosadiezglez ↓ ➂ @elmundoes ↑ ➃ @romancendoya ↑ ➄ @Anonymus_ES ↑ ➅ @FrayJosepho ↓ ➆ @sergiobarcelona ↑ ➇ @josepramonbosch ↓ ➈ @Luchadora_Tenaz ↑↑</t>
  </si>
  <si>
    <t>LA VOX DE LA COSTA DEL SOL - El Pueblo Español</t>
  </si>
  <si>
    <t>El partido de @Santi_ABASCAL se está viendo desbordado por el masivo número de afiliaciones en estos días. #Vox  @vox_malaga @Espana_Siempre_ @Vox_Estepona</t>
  </si>
  <si>
    <t>https://okdiario.com/espana/2018/12/07/sistema-afiliacion-vox-colapsa-exito-andalucia-supera-20-500-afiliados-3440724#.XArUuF8UPIE.twitter</t>
  </si>
  <si>
    <t>Málaga, España</t>
  </si>
  <si>
    <t>Sócrates</t>
  </si>
  <si>
    <t>La fragilidad de @vox_es es que @Santi_ABASCAL haya vivido de las mamandurrias toda su vida, ¿Para cuándo un partido en condiciones?</t>
  </si>
  <si>
    <t>Spain</t>
  </si>
  <si>
    <t>Ateniense. Me pongo un poco pesao cuando bebo.</t>
  </si>
  <si>
    <t>Alfilo de la Brecha</t>
  </si>
  <si>
    <t>Santi Abascal no es racista porque tiene un amigo negro.</t>
  </si>
  <si>
    <t>https://pbs.twimg.com/media/Dt3dW40X4AAB0yW.jpg</t>
  </si>
  <si>
    <t>La ciudad mas bonita del mundo</t>
  </si>
  <si>
    <t>Antropólogo, animador sociocultural y croupier. También soy de izquierdas, activista antifascista, humorista amateur y amo los pingüinos. Miro los MD de reojo</t>
  </si>
  <si>
    <t>https://www.youtube.com/c/alfilodelabrecha</t>
  </si>
  <si>
    <t>Más comentados ahora en Derecha/Centro Dcha.: ➀ @Santi_ABASCAL ↑ ➁ @rosadiezglez ↓ ➂ @romancendoya ↓ ➃ @sanchezcastejon ↑ ➄ @FrayJosepho ↑ ➅ @Anonymus_ES ➆ @josepramonbosch ↓ ➇ @gabrielrufian ➈ @DaniPintoB ↓</t>
  </si>
  <si>
    <t>Más influyentes ahora en Derecha/Centro Dcha.: ➀ @Santi_ABASCAL ↑ ➁ @rosadiezglez ↓ ➂ @romancendoya ↓ ➃ @FrayJosepho ↑ ➄ @Anonymus_ES ➅ @josepramonbosch ↓ ➆ @PEPEROES1972 ↑↑ ➇ @DaniPintoB ↓ ➈ @Miotroyo2parte ↑</t>
  </si>
  <si>
    <t>Sergio Garcia Blanco</t>
  </si>
  <si>
    <t>Solo en un país de catetos como el nuestro, se te da la opción de demostrar que eres un sinvergüenza @Santi_ABASCAL. MENTIROSO! RT @ahorapodemos: 📽️ Javier Ruiz (@Ruiz_Noticias) desmonta las mentiras de Vox en menos de tres minutos. 👇</t>
  </si>
  <si>
    <t>Barcelona</t>
  </si>
  <si>
    <t>Soy un tipo muy feliz. Informatico no-friki. Futbol, NBA, NFL y tenis. Del Barça. Me mola el mundo de las apuestas. ¿El mas grande? Andres Montes.</t>
  </si>
  <si>
    <t>Pablo Caparrós</t>
  </si>
  <si>
    <t>Y porqué no? Cualquier inversión en industria, comercio o agricultura que desee realizar cualquier empresa española contará con la siguiente ayuda pública: Los terrenos públicos donde se instalen serán a coste 0. Es tan difícil @Albert_Rivera @Santi_ABASCAL @pablocasado_</t>
  </si>
  <si>
    <t>Defendiendo 🇪🇸. Jesucristo nos dió un mensaje Enorme que solemos ignorar, y así nos va. Si estás dispuesto a cambiar tu visión, estás dispuesto a ser libre.</t>
  </si>
  <si>
    <t>Más comentados ahora en Derecha/Centro Dcha.: ➀ @sanchezcastejon ↑ ➁ @Santi_ABASCAL ↓ ➂ @MediterraneoDGT ↓ ➃ @ana_urcelay ↓ ➄ @rosadiezglez ↓ ➅ @GraafiaMM ↓ ➆ @vox_es ↓ ➇ @romancendoya ↓ ➈ @josepramonbosch ↓</t>
  </si>
  <si>
    <t>Más influyentes ahora en Derecha/Centro Dcha.: ➀ @Santi_ABASCAL ↓↓ ➁ @rosadiezglez ↓ ➂ @GraafiaMM ↓ ➃ @josepramonbosch ↓ ➄ @DaniPintoB ↑ ➅ @romancendoya ↓ ➆ @FrayJosepho ↑ ➇ @Anonymus_ES ↑ ➈ @ElAguijon_ ↓</t>
  </si>
  <si>
    <t>Star Butterfly</t>
  </si>
  <si>
    <t>Los españoles aguantamos mucho, pero hay mucho valiente ahí fuera: tabarnenses, gente que sale a quitar cruces y lazos amarillos, los que se acercan a mítines de @vox_es pese a saber que les pueden agredir por ello... @Santi_ABASCAL tiene razón: la #EspañaViva está despertando 🇪🇸</t>
  </si>
  <si>
    <t>Akula</t>
  </si>
  <si>
    <t>Twitter estalla al descubrirse las cuestionables prácticas periodísticas de Évole con Abascal: ¡Sangüijuela!</t>
  </si>
  <si>
    <t>https://www.periodistadigital.com/periodismo/tv/2018/12/07/nueva-burla-vox-escocidito-evole-cuesta-memorable-bano-twitter-sanguijuela-santi-abascal.shtml</t>
  </si>
  <si>
    <t>Albacete, España</t>
  </si>
  <si>
    <t>Nunca digas que es imposible, di que no lo has intentado ( Proverbio Chino ) Orgulloso de servir a mí Patria que es ESPAÑA y Manchego. Alea iacta est</t>
  </si>
  <si>
    <t>Toni Xavier</t>
  </si>
  <si>
    <t>Toma mazorca por el culo @Santi_ABASCAL RT @jordievole: No querían que fuésemos Pero ya estábamos dentro. Domingo por 1a vez en Salvados Hablamos d ellos "Conociendo a VOX"</t>
  </si>
  <si>
    <t>https://twitter.com/jordievole/status/1070432064099532800</t>
  </si>
  <si>
    <t>https://pbs.twimg.com/media/Dtq0aryW0AEa-YT.jpg</t>
  </si>
  <si>
    <t>Pollença, Mallorca</t>
  </si>
  <si>
    <t>Entrenador de Futbol Base Ferriolense | RCD Mallorca | Real Madrid | MFFL | Antifascista</t>
  </si>
  <si>
    <t>http://Instagram.com/tonixavier7/</t>
  </si>
  <si>
    <t>🤣🤣🤣🤣 El mismo CiS que daba un escaño a @vox_es ? 2,5%x12 = 30% para @Santi_ABASCAL Y me quedo corto. RT @sextaNoticias: #ÚLTIMAHORA. Sánchez seguiría ganando las elecciones si se realizaran ahora. #TiempoPactosARV</t>
  </si>
  <si>
    <t>https://twitter.com/sextanoticias/status/1070288784489672706
https://twitter.com/DebatAlRojoVivo/status/1070288478284464128</t>
  </si>
  <si>
    <t>Tenemos mucho en común @MonederoJC Tú has conseguido que tu padre se afilie a @vox_es y yo que mi madre les haya votado @Santi_ABASCAL RT @MonederoJC: El @PPopular de Casado, @CiudadanosCs de Rivera, @vox_es: tres patas del proyecto de refundación de la derecha auspiciado por Aznar. Y Aznar es una ficha de Murdoch y Bannon. Lo que pone a la derecha española al servicio de la derecha de EEUU. Patriotas...</t>
  </si>
  <si>
    <t>https://twitter.com/monederojc/status/1071012494896975872
https://www.elplural.com/politica/lo-nunca-contado-de-la-intima-amistad-entre-albert-rivera-y-santiago-abascal_207666102</t>
  </si>
  <si>
    <t>Más comentados ahora en Derecha/Centro Dcha.: ➀ @Santi_ABASCAL ↑ ➁ @rosadiezglez ↓ ➂ @sanchezcastejon ↑ ➃ @FrayJosepho ➄ @mcyava ↑ ➅ @vox_es ↓ ➆ @Anonymus_ES ↓ ➇ @DaniPintoB ↓ ➈ @gabrielrufian ↓↓ ➉ @josepramonbosch ↑</t>
  </si>
  <si>
    <t>Más influyentes ahora en Derecha/Centro Dcha.: ➀ @Santi_ABASCAL ↑ ➁ @rosadiezglez ↓ ➂ @FrayJosepho ↓ ➃ @mcyava ↑ ➄ @Anonymus_ES ↓ ➅ @DaniPintoB ↓ ➆ @josepramonbosch ↑ ➇ @romancendoya ↑ ➈ @ElAguijon_ ↓ ➉ @Duelelab ↑↑</t>
  </si>
  <si>
    <t>Nanobarrios77</t>
  </si>
  <si>
    <t>Dice @Santi_ABASCAL que los inmigrantes son mayormente los que cometen las agresiones machistas y asesinatos a sus parejas y quiere erradicarlo. Parece que lo que quiere es que todos los asesinos y maltratadores sean españoles. Su cabeza un día explota</t>
  </si>
  <si>
    <t>No quieras cambiar el mundo si antes no cambias tú.</t>
  </si>
  <si>
    <t>Manuel Lorente Pérez</t>
  </si>
  <si>
    <t>Hola @Santi_ABASCAL que ase. Parece que te han puesto la cara colorada...</t>
  </si>
  <si>
    <t>https://youtu.be/LXZ2SqoE4xs</t>
  </si>
  <si>
    <t>https://pbs.twimg.com/media/Dt26iFEX4AAjSod.jpg</t>
  </si>
  <si>
    <t>Orgaz (España)</t>
  </si>
  <si>
    <t>* Podrán cortar todas las flores, pero nunca detendrán la primavera. (Pablo Neruda)</t>
  </si>
  <si>
    <t>http://manuel-lorente.blogspot.com.es</t>
  </si>
  <si>
    <t>Jaime Astarloa</t>
  </si>
  <si>
    <t>Echenique intentando ridiculizar a @Santi_ABASCAL y consiguiendo dos cosas: más votos para Vox y que todo el mundo se acuerde del padre de Torrente. Enhorabuena listo. RT @pnique: Abascal es como Torrente. Da risa... hasta que te imaginas a Torrente en un parlamento o en un gobierno... y entonces da miedo.</t>
  </si>
  <si>
    <t>https://twitter.com/pnique/status/1070344137008918528</t>
  </si>
  <si>
    <t>pic.twitter.com/zqqbAcdDZO</t>
  </si>
  <si>
    <t>Al timón de mi viejo barco, contemplando el mar discurrir bajo la quilla y el horizonte lejano hacia el que me dirijo. Tabarnés por convicción y residencia.</t>
  </si>
  <si>
    <t>Yago M</t>
  </si>
  <si>
    <t>"Dijimos que señalábamos a Pablo Iglesias como instigador de este clima de odio y de las agresiones que se produjeran...y hoy lo reiteramos" @Santi_ABASCAL . Y reiteramos la historia y reiteramos.</t>
  </si>
  <si>
    <t>https://nyti.ms/2G7GZKx</t>
  </si>
  <si>
    <t>Amor en barbecho</t>
  </si>
  <si>
    <t>Hashira Topinao</t>
  </si>
  <si>
    <t>Acabo de ver esta entrevista a @Santi_ABASCAL en el programa de Ana Rosa Quintana. Merece la pena verla. No tiene desperdicio.</t>
  </si>
  <si>
    <t>https://www.telecinco.es/elprogramadeanarosa/entrevista-completa-lider-vox_2_2670180051.html</t>
  </si>
  <si>
    <t>¡Hola! Soy Hashira. Soy española y me duele la España actual más que un grano en el culo y una puñalada trapera juntos.</t>
  </si>
  <si>
    <t>Denuncia @Santi_ABASCAL Antes de haya que lamentar muertes. RT @Santi_ABASCAL: Dijimos que señalábamos a Pablo Iglesias como instigador de este clima de odio y de las agresiones que se produjeran...y hoy lo reiteramos. ¿Hasta cuándo van a a seguir los comunistas podemitas rompiendo la convivencia?</t>
  </si>
  <si>
    <t>https://twitter.com/santi_abascal/status/1071166776011055105
https://twitter.com/libertaddigital/status/1071126968064589824</t>
  </si>
  <si>
    <t>afrvet esp</t>
  </si>
  <si>
    <t>Pablo, el infierno mismo, por @Santi_ABASCAL  vía @libertaddigital</t>
  </si>
  <si>
    <t>https://www.libertaddigital.com/opinion/santiago-abascal/pablo-el-infierno-mismo-78791/</t>
  </si>
  <si>
    <t>Paris, IL</t>
  </si>
  <si>
    <t>Más comentados ahora en Derecha/Centro Dcha.: ➀ @Santi_ABASCAL ↓ ➁ @rosadiezglez ↑ ➂ @gabrielrufian ↓ ➃ @Anonymus_ES ↓ ➄ @sanchezcastejon ↓↓ ➅ @vox_es ↓ ➆ @PPopular ↓ ➇ @FrayJosepho ↓ ➈ @agarzon ↑ ➉ @mcyava ↓↓</t>
  </si>
  <si>
    <t>Más influyentes ahora en Derecha/Centro Dcha.: ➀ @Santi_ABASCAL ↓ ➁ @rosadiezglez ↑ ➂ @Anonymus_ES ↓ ➃ @FrayJosepho ↓ ➄ @mcyava ↓↓ ➅ @romancendoya ↑ ➆ @josepramonbosch ↓↓ ➇ @Luchadora_Tenaz ➈ @DaniPintoB ↓</t>
  </si>
  <si>
    <t>Alejandro Mutis</t>
  </si>
  <si>
    <t>Me RECUERDAS A MIS HERMANOS UNOS PUTEROS VENEZOLANOS entronizados en su CONCIENCIA CLASISTA,deningrandonos al COLECTIVO LGBTIQ+ @Santi_ABASCAL al confín #CadaQuienHaceDeSuCuloUnFlorero NuncaMejorFeticheParaUnHOMOFOBO tumbarte #En4 con el AnoDeFloreroAnteElAsesinoSanguinarioFRANCO</t>
  </si>
  <si>
    <t>https://pbs.twimg.com/media/Dt2vdMJW4AIb-u0.jpg</t>
  </si>
  <si>
    <t>NOW-Media ActivistForEqualRights- ACTOR.WRITERlivingInSPAIN</t>
  </si>
  <si>
    <t>http://amutis.blogspot.com</t>
  </si>
  <si>
    <t>Antonio Rivera  "EternoAdrian"</t>
  </si>
  <si>
    <t>“Hermano andaluz” @pnique escuche esto qué decía su líder... @laSextaTV #JulioAnguita #Armas #Vox @vox_es @Santi_ABASCAL RT @okdiario: Maldita hemeroteca 😏 @Pablo_Iglesias_ da la razón a @Santi_ABASCAL: “El derecho a portar armas es una de las bases de la democracia” Por @Gonzagads92 👇</t>
  </si>
  <si>
    <t>https://twitter.com/okdiario/status/1071028962330058754
https://okdiario.com/espana/2018/12/07/iglesias-da-razon-abascal-derecho-portar-armas-bases-democracia-3438627?utm_campaign=ok&amp;utm_medium=Social&amp;utm_source=Twitter#Echobox=1544187698</t>
  </si>
  <si>
    <t>Belmez, España</t>
  </si>
  <si>
    <t>Presidente Peña Taurina de Tomas Moreno El Tempranillo | Miembro de @BelmezTaurino | Serigrafias y Personalización ARS| Instagram @ARSerigrafias</t>
  </si>
  <si>
    <t>http://www.carnavalradio.es</t>
  </si>
  <si>
    <t>Una 🇪🇸 fuerte preocupa a muchos 🇫🇷, 🇲🇦, 🇬🇧.......... @Santi_ABASCAL @Ortega_Smith Hay que ser fuertes y esperar cualquier cosa, incluido otro 11/M. @pedroj_ramirez @elespanolcom</t>
  </si>
  <si>
    <t>https://pbs.twimg.com/media/Dt2t473WoAAuTbz.jpg</t>
  </si>
  <si>
    <t>⁦@hermanntertsch⁩ ⁦@alfonso_ussia⁩ ⁦@Santi_ABASCAL ⁦@eledhmel⁩ ⁦@Sr_HSmith⁩ ⁦@PhilAMellows⁩ Al que no quiera ver la verdad que conllevan estas líneas... No sé que decirle Está fuera de la realidad Léanlo sin prejuicio</t>
  </si>
  <si>
    <t>https://www.libertaddigital.com/opinion/francisco-jose-contreras/las-razones-del-exito-de-vox-86675/</t>
  </si>
  <si>
    <t>Luís II de Baviera</t>
  </si>
  <si>
    <t>Oye, @Santi_ABASCAL, no pienso votarte hasta que te hagas un test de ADN y demuestres que no tienes nada de sangre musulmana. Me gusta lo que predicas pero tienes una pinta de moro que alucinas. A parte, has sido golfillo toda tu vida... sospechoso... pinta mal.</t>
  </si>
  <si>
    <t>Neuschwanstein</t>
  </si>
  <si>
    <t>http://favstar.fm/users/fukermix</t>
  </si>
  <si>
    <t>#VuelveprontoMou</t>
  </si>
  <si>
    <t>Me ha dado por hacer un ejercicio. He buscado en Google “Ciudadanos extrema derecha” y “PP extrema derecha”, y esto es lo que me he encontrado. Para que estés tranquilo @Santi_ABASCAL y @vox_es. Algo estaréis haciendo bien.</t>
  </si>
  <si>
    <t>https://pbs.twimg.com/media/Dt2qif9X4AA0BPW.jpg</t>
  </si>
  <si>
    <t>Peña Mourinhista de Bogotá. El mejor entrenador del Mundo. Gracias por lo que diste al Real Madrid. #vuelveprontoMou</t>
  </si>
  <si>
    <t>ᵃS༘✍</t>
  </si>
  <si>
    <t>Tengo alguna duda para el impresentable de @Santi_ABASCAL • Si eres nacido en el 76, te tocaba hacer el servicio militar obligatorio. Dónde cumpliste el servicio? O no lo hiciste? • Crees necesario poner esa cara de chimpancé con catarro para parecer más patriota?</t>
  </si>
  <si>
    <t xml:space="preserve">ᗩᖇᖇᗩᒪᗪᕮ ☭                  </t>
  </si>
  <si>
    <t>🎗️</t>
  </si>
  <si>
    <t>ALIANZA NACIONAL</t>
  </si>
  <si>
    <t>Es una verdadera lastima que sea una manipulación la foto y que @Santi_ABASCAL no haya besado la tumba de Franco ...si lo hiciera tendría todo mi reconocimiento y admiración. Sueño con poderlo hacer algún día. RT @AntoniolaLEY: IDIOTAS Los separatistas manipulan una foto de Abascal para mostrarle besando la tumba de Franco</t>
  </si>
  <si>
    <t>https://twitter.com/AntoniolaLEY/status/1071171161491431426
https://okdiario.com/espana/2018/12/07/separatistas-manipulan-foto-abascal-mostrarle-besando-tumba-franco-3440935#.XAr1TIUNy0I.twitter</t>
  </si>
  <si>
    <t>EL COMUNISMO NO ES UNA IDEOLOGÍA, ES UNA PSICOPATÍA...UN COMUNISTA ES UNA SER FRACASADO, RESENTIDO LLENO DE ENVIDIA Y UNAS GANAS INMENSAS DE ROBAR...</t>
  </si>
  <si>
    <t>http://opinionesextremas.blogspot.com/</t>
  </si>
  <si>
    <t>Puer Possumus-Jesulito</t>
  </si>
  <si>
    <t>¿Qué es la Organización Nacional del Yunque, @Santi_ABASCAL ?</t>
  </si>
  <si>
    <t>No me las calzo con nada ni con nadie. No puedo con las injusticias. Prefiero una buena tarde de lectura que una madrugada de juerga y despiporre.</t>
  </si>
  <si>
    <t>Carlos Cagigal</t>
  </si>
  <si>
    <t>Lo que hace @Santi_ABASCAL traducido en una pelicula castiza de pro, es "Cateto a Babor". RT @ahorapodemos: 📽️ Javier Ruiz (@Ruiz_Noticias) desmonta las mentiras de Vox en menos de tres minutos. 👇</t>
  </si>
  <si>
    <t>Toulouse, Madrid, El Bierzo.</t>
  </si>
  <si>
    <t>Université París Descartes. Methodologie et Diagnostic. Pensamiento Crítico. Molesté a @ctxt_es y @nowtilus.es entre otr@s...</t>
  </si>
  <si>
    <t>Juanmitxu👾</t>
  </si>
  <si>
    <t>Deontay Wilder era el claro ganador #Robo #Racismo @isco_alarcon @Santi_ABASCAL</t>
  </si>
  <si>
    <t>your lips pressed in my neck I'm falling for your eyes, but they don't know me yet</t>
  </si>
  <si>
    <t>🇳🇫</t>
  </si>
  <si>
    <t>Es tan CAGON el @Santi_ABASCAL que tiene que guardar la cartera por DENTRO de la camisa RT @WyomingAgain: Poned título a esta payasada</t>
  </si>
  <si>
    <t>https://twitter.com/wyomingagain/status/1070803140348387328</t>
  </si>
  <si>
    <t>https://pbs.twimg.com/media/DtxBxtmW0AA_D0L.jpg</t>
  </si>
  <si>
    <t>no me dejáis poner nada</t>
  </si>
  <si>
    <t>ana garcia</t>
  </si>
  <si>
    <t>Hay que suspender la autonomía Catalana @policia @guardiacivil @Santi_ABASCAL @Ortega_Smith Torra ordena a Buch que purgue a los mandos de los mossos que cargaron contra los CDR</t>
  </si>
  <si>
    <t>https://okdiario.com/espana/cataluna/2018/12/07/torra-cede-cup-ordena-buch-cambios-mossos-cargas-contra-cdr-3438102#.XAsM5qo4KoI.twitter</t>
  </si>
  <si>
    <t>La energía espíritu o alma es lo mismo,nunca muere. Fuí apolítica hasta que ví lo que querían hacer con la Constitución Española... Estoy harta de la izquierda!</t>
  </si>
  <si>
    <t>***  PatriHot  ***</t>
  </si>
  <si>
    <t>Señores de @vox_es, @Santi_ABASCAL porqué no se habla (ni abordais siquiera vosotros) en españa del inminente desastre que se prepara con el #PactedeMarrakech el 10 y 11 de diciembre, y que hipoteca gravemente al porvenir de nuestra sociedad occidental?</t>
  </si>
  <si>
    <t>Paris, France</t>
  </si>
  <si>
    <t>La liberté d'expression s'arrête là où commence la vérité qui dérange...</t>
  </si>
  <si>
    <t>Jessika</t>
  </si>
  <si>
    <t>"...y hay estaba..." Ni escribir saben estos inteligentes... Será que el miedo a @vox_es los tiene tan mal? @Santi_ABASCAL @pablocasado_ @Albert_Rivera @susannagriso @okdiario @A3Noticias @EspejoPublico @_anapastor_ @eslamananadeFJL @FJL_EsRadio RT @pita1917malaga: No seáis mal pensados. Las cosas no son lo que parecen. Santiago Abascal no es franquista. Simplemente sintió un impulso irrefrenable de hacer unas flexiones... y hay estaba la tumba de Franco. No más. 😚</t>
  </si>
  <si>
    <t>https://twitter.com/pita1917malaga/status/1070982559272763392</t>
  </si>
  <si>
    <t>https://pbs.twimg.com/media/DtzktrRX4AAVLRM.jpg</t>
  </si>
  <si>
    <t>Venezuela</t>
  </si>
  <si>
    <t>Rectificare sapientis est / Más crítica y afinando la observación...</t>
  </si>
  <si>
    <t>PEPE</t>
  </si>
  <si>
    <t>El Español del famoso periodista @pedroj_ramirez en bancarrota por deshumsnizar a @Santi_ABASCAL la redacción en contra del director... @vox_es levanta ampollas en la prensa digital!!!</t>
  </si>
  <si>
    <t>https://www.periodistadigital.com/periodismo/tv/2018/12/07/ensalada-de-criticas-a-pedrojota-ramirez-por-lanzarse-al-cuello-de-ana-rosa-quintana-por-segun-el-humanizar-a-un-lider-de-extrema-derecha.shtml</t>
  </si>
  <si>
    <t>El Puyazo</t>
  </si>
  <si>
    <t>La nueva burla a Vox del escocidito Évole le cuesta un memorable baño en Twitter: "¡Sangüijuela!"  vía @Periodistadigit</t>
  </si>
  <si>
    <t>Viva la democracia y viva la libertad 🇪🇸</t>
  </si>
  <si>
    <t>La nueva burla a Vox del escocidito Évole le cuesta un memorable baño en Twitter: "¡Sangüijuela!". Jordi Evole,el abrazaterroristas vapuleado  vía @Periodistadigit</t>
  </si>
  <si>
    <t>Pedro Mogedas</t>
  </si>
  <si>
    <t>Llevo 12 horas trabajando para ayudar levantar mi país y 10 de esas horas escuchando los mitin de VOX. CADA DÍA TENGO MAS CLARO LO QUE NO QUIERO! Enhorabuena. VIVA ESPAÑA!! @Santi_ABASCAL</t>
  </si>
  <si>
    <t>Huelva</t>
  </si>
  <si>
    <t>FreeOpinion</t>
  </si>
  <si>
    <t>#vox @Santi_ABASCAL. En Jerez de la Frontera. Cortad esto se raíz, no lo permitáis.</t>
  </si>
  <si>
    <t>https://pbs.twimg.com/media/Dt2lGboXgAA6_Iu.jpg</t>
  </si>
  <si>
    <t>The truth</t>
  </si>
  <si>
    <t>Respect my ideas</t>
  </si>
  <si>
    <t>BANCAJA ahora BANKIA - ESTAFA!!!</t>
  </si>
  <si>
    <t>Que medidas se adoptarían para q miles de familias no se queden en el paro?. Estoy de acuerdo que las TV autonómicas y locales son el "pesebre" del político de turno, pero la gente q trabaja en ellas tienen q poner 1 plato de "lentejas" y pagar la hipoteca. @Santi_ABASCAL @vox_es RT @Santi_ABASCAL: Reiteramos todos los puntos de nuestro programa para Andalucía y las 100 medidas para España. Queremos suprimir cargos políticos y estructuras de propaganda, incluidas las televisiones autonómicas. Y eso no es contradictorio con transmitir tranquilidad a los trabajadores públicos</t>
  </si>
  <si>
    <t>https://twitter.com/Santi_ABASCAL/status/1071151555364167682</t>
  </si>
  <si>
    <t>Málaga, Andalucia, todaESPAÑA</t>
  </si>
  <si>
    <t>Seguros de vida en HIPOTECAS la Gran ESTAFA!. Discapacidad INVISIBLE! La Asignatura PENDIENTE de la Justicia. Enfermo de #Crohn LUCHANDO por nuestros Derechos!!</t>
  </si>
  <si>
    <t>Más comentados ahora en Derecha/Centro Dcha.: ➀ @Santi_ABASCAL ↓ ➁ @rosadiezglez ↓ ➂ @sanchezcastejon ↑ ➃ @mcyava ↓ ➄ @gabrielrufian ↓ ➅ @ElAguijon_ ↓ ➆ @Anonymus_ES ↓ ➇ @vox_es ↓↓ ➈ @josepramonbosch ↓</t>
  </si>
  <si>
    <t>Más influyentes ahora en Derecha/Centro Dcha.: ➀ @Santi_ABASCAL ↓ ➁ @rosadiezglez ↓ ➂ @mcyava ↓ ➃ @ElAguijon_ ↓ ➄ @Anonymus_ES ↓ ➅ @josepramonbosch ↓ ➆ @Dianalvarez4 ↓ ➇ @FrayJosepho ↓ ➈ @libertaddigital ↑</t>
  </si>
  <si>
    <t>vuneo (A) #BloqueaAlFacha</t>
  </si>
  <si>
    <t>Cuando Santiago Abascal quiere una ley que proteja a sus dos hijos de la denuncia falsa de cualquier desaprensiv... ¿Santi, cualquier desaprensiva no será tu mujer?</t>
  </si>
  <si>
    <t>pic.twitter.com/ILAHpmnOIQ</t>
  </si>
  <si>
    <t>Ginebra, Suiza</t>
  </si>
  <si>
    <t>No doy mi consentimiento para que ningúna organización recabe información de esta cuenta de twitter para enviarme publicidad ni perseguirme por mi ideología.</t>
  </si>
  <si>
    <t>Arnau Pagès Pardo 🎗</t>
  </si>
  <si>
    <t>Viva Vox y su gente! @Santi_ABASCAL @nadal_marc</t>
  </si>
  <si>
    <t>Catalunya</t>
  </si>
  <si>
    <t>Mariaode</t>
  </si>
  <si>
    <t>Los separatistas fascistas manipulan una foto de SANTI Abascal. A parte de lo imbeciles que son, es muy burda!!!!</t>
  </si>
  <si>
    <t>https://pbs.twimg.com/media/Dt2ZsT_XQAIzDRJ.jpg</t>
  </si>
  <si>
    <t>🇪🇸🇪🇸🇪🇸🇪🇸</t>
  </si>
  <si>
    <t>Elia Valladares</t>
  </si>
  <si>
    <t>Carta a @Santi_ABASCAL de @vox_es . Por @luisbaras Orgulloso de haber trabajado en @canalsur  vía @webnode</t>
  </si>
  <si>
    <t>https://www.luisbaras.com/l/carta-al-sr-abascal-de-vox/</t>
  </si>
  <si>
    <t>Productora de TV todoterreno, adicta a la información y viajera incansable. Las fronteras, mi prisión. Inemuri, mi estado.</t>
  </si>
  <si>
    <t>Más comentados ahora en Derecha/Centro Dcha.: ➀ @Santi_ABASCAL ↓ ➁ @rosadiezglez ↓ ➂ @sanchezcastejon ↓ ➃ @vox_es ↓ ➄ @ElAguijon_ ↑ ➅ @Anonymus_ES ↑ ➆ @gabrielrufian ↑ ➇ @mcyava ↓ ➈ @Dianalvarez4 ↓ ➉ @FrayJosepho ↓</t>
  </si>
  <si>
    <t>Más influyentes ahora en Derecha/Centro Dcha.: ➀ @Santi_ABASCAL ↑↑↑↑ ➁ @rosadiezglez ↓ ➂ @ElAguijon_ ↑ ➃ @Anonymus_ES ↑ ➄ @mcyava ↓ ➅ @Dianalvarez4 ➆ @FrayJosepho ↓ ➇ @josepramonbosch ↓ ➈ @PEPEROES1972 ↓</t>
  </si>
  <si>
    <t>.@Santi_ABASCAL, obligado a rectificar sobre el cierre de Canal Sur después de que un periodista de la cadena le dejase en evidencia.</t>
  </si>
  <si>
    <t>http://prnoticias.com/periodismo/periodismo-pr/20171042-periodista-canal-sur-deja-evidencia-santiago-abascal</t>
  </si>
  <si>
    <t>Pollavieja</t>
  </si>
  <si>
    <t>SI se dice liberal por qué no debería atacar a @Santi_ABASCAL ? A menos que creas que Santi es liberal. RT @FrayJosepho: 🔴OJO A ESTE TITULAR. No es de Público ni de . Ni siquiera de El País. NO. Es de @elespanolcom de @pedroj_ramirez. Que no hay que "humanizar" a @Santi_ABASCAL. O sea, que hay que deshumanizarlo. Un diario que se dice liberal. Triste.</t>
  </si>
  <si>
    <t>https://twitter.com/FrayJosepho/status/1070786718683619328
http://eldiario.es
https://www.elespanol.com/bluper/noticias/irresponsabilidad-ana-rosa-telecinco-humanizando-santiago-abascal-ultraderecha</t>
  </si>
  <si>
    <t>https://pbs.twimg.com/media/DtwySN0WsAEXWz6.jpg</t>
  </si>
  <si>
    <t>Depressive libertarian</t>
  </si>
  <si>
    <t>https://letterboxd.com/jordinen</t>
  </si>
  <si>
    <t>Paleocracia</t>
  </si>
  <si>
    <t>Un mes antes de las elecciones andaluzas: 👤@Santi_ABASCAL borró 538 tweets. 🥦@vox_es borró 120 tweets.</t>
  </si>
  <si>
    <t>https://pbs.twimg.com/media/Dt2TkpfWsAESYXQ.jpg</t>
  </si>
  <si>
    <t>Datos.</t>
  </si>
  <si>
    <t>Irene Zoe Alameda</t>
  </si>
  <si>
    <t>Así no... Los separatistas manipulan una foto de ⁦@Santi_ABASCAL⁩ para mostrarle besando la tumba de Franco #Vox</t>
  </si>
  <si>
    <t>https://okdiario.com/espana/2018/12/07/separatistas-manipulan-foto-abascal-mostrarle-besando-tumba-franco-3440935</t>
  </si>
  <si>
    <t>New York</t>
  </si>
  <si>
    <t>PhD Columbia University. Writer, Filmmaker, Composer. Director of La cinta de Alex. Author of Sueños itinerantes, Warla Alkman, Antrópolis. Leader of Reber</t>
  </si>
  <si>
    <t>http://www.irenezoealameda.com</t>
  </si>
  <si>
    <t>Isthar</t>
  </si>
  <si>
    <t>Quién es Santi Abascal  vía @YouTube</t>
  </si>
  <si>
    <t>https://youtu.be/1L2AUru_tZ8</t>
  </si>
  <si>
    <t>Adrián Galdos</t>
  </si>
  <si>
    <t>Por último... @vox_es @Santi_ABASCAL Si tengo mi casa alquilada d forma legal, con el contrato firmado ante notario, pago x transf. en los 1os cinco días del mes (x ejem), si el inquilino no paga. Se llama a la policía nacional pide extracto bancario y a la calle en 24h más multa</t>
  </si>
  <si>
    <t xml:space="preserve">El Universo </t>
  </si>
  <si>
    <t>Nueva cuenta y energía a tope!! BASTA YA de impuestos. Menos gastos, menos administración, menos despilfarro y más protección a los mayores.</t>
  </si>
  <si>
    <t>Dijimos que señalábamos a Pablo Iglesias como instigador de este clima de odio y de las agresiones que se produjeran...y hoy lo reiteramos. ¿Hasta cuándo van a a seguir los comunistas podemitas rompiendo la convivencia? RT @libertaddigital: VOX denuncia una agresión a dos de sus afiliados en Lorca (Murcia)</t>
  </si>
  <si>
    <t>https://twitter.com/libertaddigital/status/1071126968064589824
http://dlvr.it/Qt5FG3</t>
  </si>
  <si>
    <t>Pericles de Atenas</t>
  </si>
  <si>
    <t>—¡Vaya! Como no le gusta el resultado electoral, pide tomar las calles. —Santi Abascal ya se sabe, siempre contra la democracia. —Ha sido Pablo Iglesias. —Es que hay que luchar contra el fascismo donde sea.</t>
  </si>
  <si>
    <t>Me marqué La Acrópolis, pero luego se me quedó ruinosa, como el Palau de les Arts.</t>
  </si>
  <si>
    <t>amparameque</t>
  </si>
  <si>
    <t>El derecho y el deber, son como palmeras: no dan fruto si no crecen uno al lado del otro.</t>
  </si>
  <si>
    <t>Xavier Ribalta</t>
  </si>
  <si>
    <t>Sinceramente a los independentistas nos importa una mierda lo que @Santi_ABASCAL haga en la tumba de Franco, como si se quiere cagar en ella. Nosotros a los fascistas les plantamos cara, no les hacemos publicidad RT @okdiario: Los separatistas manipulan una foto de Abascal para mostrarle besando la tumba de Franco</t>
  </si>
  <si>
    <t>https://twitter.com/okdiario/status/1071164215610798080
https://okdiario.com/espana/2018/12/07/separatistas-manipulan-foto-abascal-mostrarle-besando-tumba-franco-3440935?utm_term=Autofeed&amp;utm_campaign=ok&amp;utm_medium=Social&amp;utm_source=Twitter#Echobox=1544220424</t>
  </si>
  <si>
    <t xml:space="preserve">Igualada </t>
  </si>
  <si>
    <t>2018: Any de la República Catalana</t>
  </si>
  <si>
    <t>La Brújula</t>
  </si>
  <si>
    <t>Bromea @cultrun: "La solución es que @Santi_ABASCAL vuelva al @PPopular con sus 12 escaños y se acabe ya el tema de si es o no ultraderecha" #LaBrújulaConJuanraLucas</t>
  </si>
  <si>
    <t>https://pbs.twimg.com/media/Dt2LToBXQAA9uQv.jpg</t>
  </si>
  <si>
    <t>La Brújula de Onda Cero, información y análisis de 20.00 a 23.30 horas. Con @JuanraLucas . Déjanos un mensaje de audio en el 608 962 492.</t>
  </si>
  <si>
    <t>http://www.ondacero.es/programas/la-brujula/</t>
  </si>
  <si>
    <t>Carlos Ocaña</t>
  </si>
  <si>
    <t>Brutal. @Santi_ABASCAL siempre tendrá mi reconocimiento infinito por esta parte de su biografía.</t>
  </si>
  <si>
    <t>Toledo, Lo centro represor</t>
  </si>
  <si>
    <t>Falso.. El Mundo, el estupido, Today, mañana, siempre' Pancho Sanchez</t>
  </si>
  <si>
    <t>http://nordistria.tumblr.com/</t>
  </si>
  <si>
    <t>VOX , EL VOTO ÚTIL . VIVA ESPAÑA !🇪🇸</t>
  </si>
  <si>
    <t>Pepe López analiza - Los cojones de Abascal  vía @YouTube Y Santi es de extrema derecha .</t>
  </si>
  <si>
    <t>https://youtu.be/1o2gWaa0ZFs</t>
  </si>
  <si>
    <t>Cantabria</t>
  </si>
  <si>
    <t>XeS</t>
  </si>
  <si>
    <t>Noticia interesante: Esta claro que VOX les acojona. Manipulan una foto de @Santi_ABASCAL para mostrarle besando la tumba de Franco @MIUI|</t>
  </si>
  <si>
    <t>https://okdiario.com/espana/2018/12/07/separatistas-manipulan-foto-abascal-mostrarle-besando-tumba-franco-3440935?utm_source=onesignal&amp;utm_medium=notificacion</t>
  </si>
  <si>
    <t>Milkyway galaxy.</t>
  </si>
  <si>
    <t>Solo por ver un amanecer merece la pena nacer. Aprende, piensa y decide por tí mismo. La verdad oficial suele ser mentira. Huye de la agitación y propaganda.</t>
  </si>
  <si>
    <t>LasGaunasGol</t>
  </si>
  <si>
    <t>Se pilla a un mentiroso antes que a un cojo y @Santi_ABASCAL de @vox_es no sé si es cojo pero MENTOROSO.... RT @ahorapodemos: 📽️ Javier Ruiz (@Ruiz_Noticias) desmonta las mentiras de Vox en menos de tres minutos. 👇</t>
  </si>
  <si>
    <t>Sigo algo de deporte modesto sobre todo en blanco y rojo como son los apellidos. Fiel ante todo.</t>
  </si>
  <si>
    <t>o boriba ( el exilia</t>
  </si>
  <si>
    <t>https://www.moncloa.com/etb-vox-yunque-iran-abascal/#.XArs3lVDrXI.twitter</t>
  </si>
  <si>
    <t>Separatistas y podemitas manipulan una foto de @Santi_ABASCAL para mostrarle besando la tumba de Franco</t>
  </si>
  <si>
    <t>https://okdiario.com/espana/2018/12/07/separatistas-manipulan-foto-abascal-mostrarle-besando-tumba-franco-3440935#.XArsWj_E72U.twitter</t>
  </si>
  <si>
    <t>cule,si has votado a Vox, no eres bien recibido</t>
  </si>
  <si>
    <t>Carta abierta de un votante de @ahorapodemos a @Santi_ABASCAL leerla verdades como puños, Santi Leela te deja muy claro porque eres un Fascista #FelizFinde</t>
  </si>
  <si>
    <t>https://www.ecorepublicano.es/2018/12/un-votante-de-podemos-destroza-santiago.html</t>
  </si>
  <si>
    <t xml:space="preserve">#En algun Lugar de Jaen </t>
  </si>
  <si>
    <t>Naci siendo del barça, Indignado, ANDALUZ y de JAÉN #VivaAndaluciaLibre</t>
  </si>
  <si>
    <t>Caso Aislado</t>
  </si>
  <si>
    <t>¡Se acabaron los chupópteros! @Santi_ABASCAL ha dejado claro que el objetivo de @vox_es es suprimir todos los cargos políticos inútiles que solamente sirven para vaciar las arcas públicas de Andalucía.</t>
  </si>
  <si>
    <t>https://casoaislado.com/se-acabaron-los-chupopteros-vox-anuncia-que-suprimira-los-cargos-politicos-inutiles-en-andalucia/</t>
  </si>
  <si>
    <t xml:space="preserve">España </t>
  </si>
  <si>
    <t>Cuenta oficial de @CasoAislado_es. Medio independiente.</t>
  </si>
  <si>
    <t>http://www.casoaislado.com</t>
  </si>
  <si>
    <t>Justo</t>
  </si>
  <si>
    <t>Al final cada vez está más claro que el verdadero líder de @vox_es no es @Santi_ABASCAL es (redoble de 🥁 🥁) ¡Jose María Aznar! Esta historia de Vox lleva tiempo fraguandose entre las paredes de la @FundacionFaes</t>
  </si>
  <si>
    <t>https://pbs.twimg.com/media/Dt2HM86WkAAdz_2.jpg</t>
  </si>
  <si>
    <t>Islas Canarias, España</t>
  </si>
  <si>
    <t>Empresario. Hobby Gastronomic Photographer. Con Podemos en busca de un Mundo mejor. ¡Claro que se puede!</t>
  </si>
  <si>
    <t>https://justoperezblog.wordpress.com/</t>
  </si>
  <si>
    <t>DEPLORABLE #FACHA RESISTENCIA ESPAÑOLA 🇪🇸 🌟✌😘⚓</t>
  </si>
  <si>
    <t>HABLA DEL PACTO MIGRATORIO YA!!! @Santi_ABASCAL !!! O SERÉ TU ALMORRANA. RT @Santi_ABASCAL: Reiteramos todos los puntos de nuestro programa para Andalucía y las 100 medidas para España. Queremos suprimir cargos políticos y estructuras de propaganda, incluidas las televisiones autonómicas. Y eso no es contradictorio con transmitir tranquilidad a los trabajadores públicos</t>
  </si>
  <si>
    <t xml:space="preserve">🌑 </t>
  </si>
  <si>
    <t>Walkiria electrónica del teclado. Patriota y aliada. #Anónimos España. #DefiendeEspaña #DifusiónVenezuela #QAnon #Hunter #Space Comunistafóbica Netkaizen Brat</t>
  </si>
  <si>
    <t>Jose Luis Sanchez</t>
  </si>
  <si>
    <t>Compré mi acción de @elespanolcom para que partidos como @vox_es y personas como @Santi_ABASCAL tuvieran su espacio para defendernos del pensamiento único, de la ideología de género, del comunismo, la Unidad de España...pero que pena gente como @juanmafdez</t>
  </si>
  <si>
    <t>https://www.elespanol.com/bluper/noticias/irresponsabilidad-ana-rosa-telecinco-humanizando-santiago-abascal-ultraderecha</t>
  </si>
  <si>
    <t>Ex Presidente de Vox Madrid @madrid_vox . En @vox_es desde el Dia 0. Ahora un afiliado más al servicio de Vox y de España.</t>
  </si>
  <si>
    <t>Nyapell</t>
  </si>
  <si>
    <t>#equipotronos Vecinos víctimas de un "terrorismo" que se padece EN SILENCIO y ni los supuestos "racistas" @vox_es proponen hacer NADA. @Santi_ABASCAL ¿sabes que hay gente que tiene que HUIR de su casa por culpa de gitanos igual que mucha gente tuvo que huir de su casa por ETA?</t>
  </si>
  <si>
    <t>NO soy simpatizante d NINGÚN partido político ni asociaciones ´´fachas´´ pero la incoherencia y endofobia de los ´´progres´´ los hace repulsivos.</t>
  </si>
  <si>
    <t>http://pastebin.com/WHUwhh8g</t>
  </si>
  <si>
    <t>Francisco Rodriguez</t>
  </si>
  <si>
    <t>A esto recurren los Podemitas. FOTO 1: Instagram de Santi Abascal. Foto. 2: Fotomontaje lanzado a las hordas de 'walking dead' para seguirles engañando.</t>
  </si>
  <si>
    <t>https://gyazo.com/a289da92620d0e44671d5ff35f8159e1</t>
  </si>
  <si>
    <t>🇪🇸#Andaluz de nacimiento-#Valenciano de acogida- y #Español ante todo 🇪🇸</t>
  </si>
  <si>
    <t>RumboPropio 🆘 1⃣5⃣5⃣</t>
  </si>
  <si>
    <t>✅ Que dicen los de @voz_populi que el Rey pide a #VOX que no cambie las playas y las montañas de sitio: le gustan mucho los praos de Asturias . Apúntelo @Santi_ABASCAL. 🤷‍♂️ #VoxAvanza #VOXUtil RT @voz_populi: Felipe VI manda un mensaje a Vox: "No hay que suprimir la diversidad territorial"</t>
  </si>
  <si>
    <t>https://twitter.com/voz_populi/status/1071117408809730054
https://buff.ly/2AWh9Dg</t>
  </si>
  <si>
    <t>Antes del 1 Oct. 2017 sin Twitter. Después 4ªG frente a la hispanofobia y contra el separatismo. Mis hilos están recopilados en el blog 👇 ▶ @rumbopropio2</t>
  </si>
  <si>
    <t>https://rumbored.blogspot.com.es/</t>
  </si>
  <si>
    <t>🎗🎗kikeaSecas 🥝 #Cosas.....</t>
  </si>
  <si>
    <t>Sr @Santi_ABASCAL @vox_es cuando la desinformacion se transforma en una herramienta. Leer, informarse e investigar. RT @ahorapodemos: 📽️ Javier Ruiz (@Ruiz_Noticias) desmonta las mentiras de Vox en menos de tres minutos. 👇</t>
  </si>
  <si>
    <t>Barcelona, España</t>
  </si>
  <si>
    <t>Alfreder, Azul de corazón de toda la vida, anti-derechas.</t>
  </si>
  <si>
    <t>Veo tan acojonados a todos que no tengo duda de que algunos sondeos manejan mayoría absoluta para @vox_es y @Santi_ABASCAL</t>
  </si>
  <si>
    <t>LA CLASE OBRERA</t>
  </si>
  <si>
    <t>Me acabo de dar cuenta de que @Santi_ABASCAL nació el 14 de Abril, dia que se proclamó la Segunda República, ¡Lo que es la vida!</t>
  </si>
  <si>
    <t>Sentinel del Norte</t>
  </si>
  <si>
    <t>GILIPOLLAS, un poco MONGUER y muy RETRASADO</t>
  </si>
  <si>
    <t>Reiteramos todos los puntos de nuestro programa para Andalucía y las 100 medidas para España. Queremos suprimir cargos políticos y estructuras de propaganda, incluidas las televisiones autonómicas. Y eso no es contradictorio con transmitir tranquilidad a los trabajadores públicos</t>
  </si>
  <si>
    <t>Mejores Zasca!</t>
  </si>
  <si>
    <t>Zasca!!!!!!!!!!! de @Santi_ABASCAL a @FeijooGalicia . Vía @vanjesuling</t>
  </si>
  <si>
    <t>https://pbs.twimg.com/media/Dt19eLeWsAE_ykf.jpg</t>
  </si>
  <si>
    <t>Zas, España</t>
  </si>
  <si>
    <t>Los mejores Zas! en toda la boca! de internet. Hay para todos, nos gustan los Zasca! a políticos, periodistas, tuitstars, deportistas, youtubers....</t>
  </si>
  <si>
    <t>elizabeth nanno..</t>
  </si>
  <si>
    <t>Que Retrógrada eres sr Santi abascal RT @elprogramadear: .@Santi_ABASCAL : "El matrimonio es la unión entre un hombre y una mujer" @vox_es #AbascalAR</t>
  </si>
  <si>
    <t>https://twitter.com/elprogramadear/status/1070258176149413888
http://bitly.is/2E3iAmE</t>
  </si>
  <si>
    <t>https://pbs.twimg.com/media/DtpSIPMWsAA8nMe.jpg</t>
  </si>
  <si>
    <t>Siempre Real y MOU</t>
  </si>
  <si>
    <t>Hasta cuando tienen que llegar @sanchezcastejon para que apliques el 155 !!. @CiudadanosCs @vox_es @Santi_ABASCAL @pablocasado_ mirar el vídeo !!!.</t>
  </si>
  <si>
    <t>pic.twitter.com/1aaf4L2mTS</t>
  </si>
  <si>
    <t>¿Y esto @Santi_ABASCAL @Ortega_Smith ? No estaréis ya PPeando tras unas elecciones. RT @FSerranoCastro: vox_es ha venido a terminar con la corrupción y a crear empleo. Pueden estar tranquilos los funcionarios y trabajadores públicos de Andalucía, también los de Canal Sur. Solo vamos a recortar el gasto político</t>
  </si>
  <si>
    <t>https://twitter.com/FSerranoCastro/status/1071036193553440770</t>
  </si>
  <si>
    <t>Zanzibar 15M</t>
  </si>
  <si>
    <t>Santi Abascal, el primer nazi con nombre de ambientador.</t>
  </si>
  <si>
    <t>Vivo en una Dictadura Digital</t>
  </si>
  <si>
    <t>Si un torero es un artista, mi carnicero es escultor abstracto. http://sgale20.blogspot.com</t>
  </si>
  <si>
    <t>Aitana</t>
  </si>
  <si>
    <t>Exigían autonomía plena para Andalucia. Santi Abascal, mejor no lo veas! &gt; #l6cCrisisDeLos40</t>
  </si>
  <si>
    <t>Angeles3333333331🇪🇸</t>
  </si>
  <si>
    <t>y tú Echenique deja de poner tweets en contra de Santi Abascal porque al final os van a aplastar como a cucarachas qué es lo que sois cucarachas asquerosas</t>
  </si>
  <si>
    <t>https://pbs.twimg.com/media/Dt13t7xWoAEmePd.jpg</t>
  </si>
  <si>
    <t>Catalunya es ESPAÑA 🇪🇸❤🇪🇸</t>
  </si>
  <si>
    <t>SOY CATALANA PERO NO SOY SEPARATISTA 🇪🇸🇪🇸 ❤🇪🇸🇪🇸</t>
  </si>
  <si>
    <t>ÖZILISTA ENFURECIDO</t>
  </si>
  <si>
    <t>Shakira defrauda y la culpa se la lleva VOX. Manda cojones el asunto. @vox_es @Santi_ABASCAL RT @protestona1: A la VOX le gustan los extranjeros como Shakira que se adaptan a las costumbres españolas, y no los muertos de hambre que vienen a recoger fruta cobrando 2€ por hora.</t>
  </si>
  <si>
    <t>https://twitter.com/protestona1/status/1071096709000949760</t>
  </si>
  <si>
    <t>https://pbs.twimg.com/media/Dt1MxtHXgAY9134.jpg</t>
  </si>
  <si>
    <t>106 Goals 224 Assists</t>
  </si>
  <si>
    <t>Mesut Özil. Arsenal. ¿Crees en la magia? Sigueme. Cuenta secundaria y videos en @DonMesuto</t>
  </si>
  <si>
    <t>🎗 Vaga de Fam. Dia 8🎗</t>
  </si>
  <si>
    <t>Leyendo su programa, por fin sabemos que significan las siglas de @vox_es de @Santi_ABASCAL y @Ortega_Smith #ViolenciaOdioXenofobia Adelantando por la #ultraderecha a @PPopular @pablocasado_ y @CiudadanosCs @albert_rivera</t>
  </si>
  <si>
    <t>República Catalana</t>
  </si>
  <si>
    <t>Espai destinat a la busqueda i promoció de noticies sobre la independencia de Catalunya</t>
  </si>
  <si>
    <t>Javi Villaverde</t>
  </si>
  <si>
    <t>Entonces a ver que yo me entere... Si yo considero que lo que habría que hacer es extraditar esta misma noche a este pibe y que no pueda volver a entrar en nuestro país bajo ningún concepto, soy racista y sobre todo facha no? Jajajajajaja @vox_es @Santi_ABASCAL 💪💚 RT @carloshidalgo_: Detenido un cubano por dos violentos atracos a taxistas en menos de 24 horas  vía @ABC_Madrid</t>
  </si>
  <si>
    <t>https://twitter.com/carloshidalgo_/status/1070962036383862785
https://www.abc.es/espana/madrid/abci-detenido-cubano-violentos-atracos-taxistas-menos-24-horas-201812070203_noticia.html#ns_campaign=rrss-inducido&amp;ns_mchannel=abc-es&amp;ns_source=tw&amp;ns_linkname=noticia-foto&amp;ns_fee=0</t>
  </si>
  <si>
    <t>Sabios de Sivana, Himalaya.</t>
  </si>
  <si>
    <t>Mis tweets son efímeros.</t>
  </si>
  <si>
    <t>Pollito Picón</t>
  </si>
  <si>
    <t>A esto recurren los Podemitas para engañar a la gente. FOTO 1: Instagram de Santi Abascal. FOTO 2: Fotomontaje lanzado por la basura progre para falsificar la realidad.</t>
  </si>
  <si>
    <t>https://pbs.twimg.com/media/Dt10mLnWoAAA9a6.jpg</t>
  </si>
  <si>
    <t>Pablemos</t>
  </si>
  <si>
    <t>Totalmente de acuerdo con esta reflexión de @Santi_ABASCAL. Hay que ilegalizar a los partidos separatistas y fortalecer la Unidad de España.</t>
  </si>
  <si>
    <t>pic.twitter.com/r1w3ZHCqG6</t>
  </si>
  <si>
    <t>Español. Contrario al Marxismo económico y al Marxismo Cultural.</t>
  </si>
  <si>
    <t>Magno67</t>
  </si>
  <si>
    <t>Me ha gustado un vídeo de @YouTube ( - Santi Abascal con Jordi, follonero, en el bar de Salvador Monedero).</t>
  </si>
  <si>
    <t>http://youtu.be/vCzgGgIgofk?a</t>
  </si>
  <si>
    <t>Fuenlabrada</t>
  </si>
  <si>
    <t>El pensamiento político, particularmente en la izquierda, es una especie de fantasía masturbatoria en la que el mundo de los hechos apenas cuenta.🇪🇸🇪🇸🇪🇸</t>
  </si>
  <si>
    <t>CdV - Sevilla</t>
  </si>
  <si>
    <t>Hasta q he visto este tweet, estábamos convencidos de q @Santi_ABASCAL llegaría a ser presidente del Gobierno pronto. Sí acabados de llegar a la escena política os desdecís de algo escrito en vuestro programa electoral seréis lo mismo que el resto de partidos...unos MENTIROSOS. RT @FSerranoCastro: vox_es ha venido a terminar con la corrupción y a crear empleo. Pueden estar tranquilos los funcionarios y trabajadores públicos de Andalucía, también los de Canal Sur. Solo vamos a recortar el gasto político</t>
  </si>
  <si>
    <t>Sevilla, España</t>
  </si>
  <si>
    <t>Delegación del «Act Tank» @clubdeviernes en Sevilla. Más libertad, menos socialismo. Email: sevilla@elclubdelosviernes.org/Canal de Telegram: http://telegram.me/cdvsur</t>
  </si>
  <si>
    <t>http://elclubdelosviernes.org</t>
  </si>
  <si>
    <t>MrInsustancial</t>
  </si>
  <si>
    <t>Seguir a Santiago Abascal por la calle diciéndole: "¡Hola, Santiago! ¿ A donde vas? ¿Qué vas a hacer ahora? Dime algo así de la Unidad de España, Santi que solo has salido hoy doce horas en todas las cadenas y tengo mono de VOX ¿A donde vas con esas bolsas? ¿eh? Estoy ahíto, Sa"</t>
  </si>
  <si>
    <t>Stay tuned...</t>
  </si>
  <si>
    <t>http://www.revistadon.com</t>
  </si>
  <si>
    <t>Lisacat 👸♀️🇪🇸</t>
  </si>
  <si>
    <t>Aquí tenéis todas las preguntas que os gustaría hacer a un transexual. @AgustinLaje @NickyMarquez1 @NoALaIdDeGenero @Santi_ABASCAL @hazteoir</t>
  </si>
  <si>
    <t>https://youtu.be/JFFGy_TF8pI</t>
  </si>
  <si>
    <t>Región de Murcia, España</t>
  </si>
  <si>
    <t>To see a world in a grand of sand, and a heaven in a wild flower, hold infinity in the palm of your hand and eternity in an hour (William Blake)</t>
  </si>
  <si>
    <t>https://youtu.be/de1aPKXBdAE</t>
  </si>
  <si>
    <t>Javier Criado</t>
  </si>
  <si>
    <t>Con imágenes trucadas, con fake news, así argumentan los rojos de la ultraizquierda radical que @Santi_ABASCAL sea de la extrema derecha. La reacción de la gente harta de estos rojos es el colapso de la web de @vox_es para afiliarse. Como diría #Mota: "Tooooontos pa siempre"</t>
  </si>
  <si>
    <t>https://pbs.twimg.com/media/Dt1zA9fX4AIauuD.jpg</t>
  </si>
  <si>
    <t>Opinador de todo lo opinable. Sólo con un insulto te bloqueo, tu mism@ España indivisible.</t>
  </si>
  <si>
    <t>K.L.</t>
  </si>
  <si>
    <t>Me interesa saber si hay algún tipo de indumentaria ya sea cazadora camiseta abrigo o algo de su partido para adquirirlo estas Navidades. @vox_es @Santi_ABASCAL</t>
  </si>
  <si>
    <t>Bergen, Noruega</t>
  </si>
  <si>
    <t>Aquí he venido a humillar podemitas.</t>
  </si>
  <si>
    <t>DragonRapide</t>
  </si>
  <si>
    <t>Mira que le está saliendo la campaña barata a @vox_es, toda la izquierda y a la cabeza el infecto Gobierno del @PSOE recogiendo votos a espuertas para @Santi_ABASCAL. En las generales lo petamos.</t>
  </si>
  <si>
    <t>"Respice post te, hominem te esse memento" 🎗=💩💩💩</t>
  </si>
  <si>
    <t>Miguel Angel Batista</t>
  </si>
  <si>
    <t>Con éste anuncio parece que @jordievole se la ha metido doblada a @Santi_ABASCAL</t>
  </si>
  <si>
    <t>https://www.elplural.com/comunicacion/jordi-evole-salvados-se-infiltran-en-vox_207698102</t>
  </si>
  <si>
    <t>https://pbs.twimg.com/media/Dt1xsRaWkAArp6s.jpg</t>
  </si>
  <si>
    <t>Santa Cruz de Tenerife, Islas</t>
  </si>
  <si>
    <t>Informático. Socialista. Polémico. Secretario de Social Media y Contenidos Digitales de @PSOESantaCruzTF</t>
  </si>
  <si>
    <t>HispaniaFortius</t>
  </si>
  <si>
    <t>Gracias a @LaLupaJudicial por descubrir un burdo foto-montaje de la "ultra izquierda" Por lo menos sabemos que saben sumar 1+2=3 @Santi_ABASCAL @vox_es #Vox</t>
  </si>
  <si>
    <t>https://pbs.twimg.com/media/Dt1xLvbXQAABU0C.jpg</t>
  </si>
  <si>
    <t>Pucela</t>
  </si>
  <si>
    <t>Orgulloso de ser ESPAÑOL y Castellano.Liberal https://hispaniafortius.wordpress.com https://gab.ai/HispaniaFortius</t>
  </si>
  <si>
    <t>https://twitter.com/HispaniaFortius</t>
  </si>
  <si>
    <t>CdV Andalucía</t>
  </si>
  <si>
    <t>¡¡¡Decepcionante este tweet!!! Qué nos aporta una televisión gubernamental? Nada bueno. Gasto inútil y clientelismo. Hay q venderlas todas, las autonómicas y la estatal. Todo lo q no sea eso será incumplimiento de programa. @vox_es @VOXSevilla @Santi_ABASCAL @fjconpe RT @FSerranoCastro: vox_es ha venido a terminar con la corrupción y a crear empleo. Pueden estar tranquilos los funcionarios y trabajadores públicos de Andalucía, también los de Canal Sur. Solo vamos a recortar el gasto político</t>
  </si>
  <si>
    <t>Andalusia, Spain</t>
  </si>
  <si>
    <t>Delegación de @clubdeviernes en Andalucía. Más libertad, menos socialismo. Email: andalucia@elclubdelosviernes.org Canal de Telegram: http://telegram.me/cdvsur</t>
  </si>
  <si>
    <t>gmiasg</t>
  </si>
  <si>
    <t>Flavio</t>
  </si>
  <si>
    <t>Los diarios subvencionados publican como buena la foto retocada de @Santi_ABASCAL que ha sido desmentida desde hace dos días. Ahora sabemos por qué necesitan subvenciones, ni actualidad ni profesionalidad ni ética profesional. RT @elnacionalcat: La foto d'Abascal fent un petó a la tomba de Franco que torna boig twitter | via @en_blau</t>
  </si>
  <si>
    <t>https://twitter.com/elnacionalcat/status/1071132236831834112
http://bit.ly/2E5der4</t>
  </si>
  <si>
    <t>Tabarnia, España</t>
  </si>
  <si>
    <t>Propaganda</t>
  </si>
  <si>
    <t>Ya OS hemos bautizado...  @Santi_ABASCAL @Ortega_Smith @JOSEMANUELSOTO1</t>
  </si>
  <si>
    <t>https://youtu.be/P_j7baLjx28</t>
  </si>
  <si>
    <t>⬅️</t>
  </si>
  <si>
    <t>Libre Pensador 🇪🇸</t>
  </si>
  <si>
    <t>Lamentable y traidor @pedroj_ramirez y @elespanolcom Él que destapaba casos de corrupción ahora metiéndose con @Santi_ABASCAL y @vox_es que es el único político y partido que de verdad han plantado cara a los separatistas y a la corrupción política de España.Vergonzoso #Vox RT @Santi_ABASCAL: Una irresponsabilidad de @elespanolcom haciéndole el juego a Podemos, a Bildu y los CDR, que pretenden deshumanizarnos para atacarnos impúnemente. Una verdadera pena @pedroj_ramirez</t>
  </si>
  <si>
    <t>Andalucía, ESPAÑA 🇪🇸</t>
  </si>
  <si>
    <t>Militar en RT. Soy todo lo que odia la izquierda.45 junios,idealista,muy 🇪🇸 y andaluz, cofrade, rociero, irónico, madridista, divorciado buscando ❤️ auténtico</t>
  </si>
  <si>
    <t>.@pnique llama “Torrente” a @Santi_ABASCAL y @SSantiagosegura le pone en su sitio</t>
  </si>
  <si>
    <t>https://okdiario.com/espana/2018/12/07/echenique-llama-torrente-abascal-santiago-segura-pone-sitio-3440190?utm_campaign=inda&amp;utm_medium=Social&amp;utm_source=Twitter#Echobox=1544212746</t>
  </si>
  <si>
    <t>carlitos</t>
  </si>
  <si>
    <t>Muy bien PJota, y luego el anticonstitucional es Santi Abascal. Manda h... RT @elespanolcom: Para Rufián quienes "celebran los 40 años de la farsa de la Constitución y el artículo 155 son unos cínicos y unos carceleros“.</t>
  </si>
  <si>
    <t>https://twitter.com/elespanolcom/status/1071031572650897408</t>
  </si>
  <si>
    <t>https://pbs.twimg.com/media/Dt0M4JAWkAMn1f7.jpg</t>
  </si>
  <si>
    <t>CASTELLDEFELS</t>
  </si>
  <si>
    <t>Uno más de esta sociedad civil ninguneada por la casta política y empeñado en llegar al final del túnel. No necesariamente comparto todo lo que retuiteo.</t>
  </si>
  <si>
    <t>MOONVICUS</t>
  </si>
  <si>
    <t>Maldita hemeroteca 😏 @Pablo_Iglesias_ da la razón a @Santi_ABASCAL: “El derecho a portar armas es una de las bases de la democracia” Por @Gonzagads92 👇</t>
  </si>
  <si>
    <t>pic.twitter.com/vWlRvWV6Mw</t>
  </si>
  <si>
    <t>Azti Begia</t>
  </si>
  <si>
    <t>#VOX Hola buenas tardes. Una pregunta que siempre me ronda la cabeza @Santi_ABASCAL Me gustaría saber si en la recentralización del Estado que plantea su partido también se prevé suprimir la FORALIDAD de Álava, Vizcaya, Guipúzcoa y Navarra. Gracias.</t>
  </si>
  <si>
    <t>Txapela buruan 'ta ibili munduan : Libros, Política, Tecnología, Viajes, Animación, Ciencia Ficción..</t>
  </si>
  <si>
    <t>tona</t>
  </si>
  <si>
    <t>😂 @pnique llama “Torrente” a @Santi_ABASCAL y @SSantiagosegura le pone en su sitio con un tremendo zasca</t>
  </si>
  <si>
    <t>Eran las cuatro de la tarde. Bajo un pesado cielo, la ciudad se cocía lentamente. Todos los almacenes tenían sus toldos bajados. Las calzadas estaban desiertas.</t>
  </si>
  <si>
    <t>AnaGarcia</t>
  </si>
  <si>
    <t>🇪🇸✌️ Como decía el título de la canción de Módulos"todo tiene su fin " y a los separatistas les está llegando, todo lo bueno se hace esperar confía en #EspañaViva #VoxAvanza y en @Santi_ABASCAL RT @GuajeSalvaje: No sabéis qué mérito tiene ser constitucionalista en pueblos de la Cataluña profunda, donde la mayoría es separata. No es plato de gusto morderte la lengua, no decir lo que piensas, porque si no tus hijos serían los "fachas" en el cole o en tu negocio no entraría nadie. Triste.</t>
  </si>
  <si>
    <t>https://twitter.com/GuajeSalvaje/status/1071025902744715264</t>
  </si>
  <si>
    <t>Cartagena, España</t>
  </si>
  <si>
    <t>Jesús Romero León</t>
  </si>
  <si>
    <t>La nueva burla a Vox del escocidito Évole le cuesta un memorable baño en Twitter: '¡Sangüijuela!'</t>
  </si>
  <si>
    <t>http://www.periodistadigital.com/periodismo/tv/2018/12/07/nueva-burla-vox-escocidito-evole-cuesta-memorable-bano-twitter-sanguijuela-santi-abascal.shtml</t>
  </si>
  <si>
    <t xml:space="preserve">Jerez de la Frontera, Cádiz. </t>
  </si>
  <si>
    <t>Eternamente agradecido.</t>
  </si>
  <si>
    <t>Alberto Sanz Blanco</t>
  </si>
  <si>
    <t>Da un poco vergüenza aclarar pésimos foto-montajes, esta vez de Santi Abascal, pero siempre es bueno hacerlo y para eso están estos expertos 👇 RT @LaLupaJudicial: Historia gráfica de un foto-montaje de la "ultra izquierda" 😂😂😂😂😂😂😂 (Hilito 👇👇👇)</t>
  </si>
  <si>
    <t>https://twitter.com/LaLupaJudicial/status/1071119003307966464</t>
  </si>
  <si>
    <t>Periodista y analista político. Crítico artístico en @canalhablamos. Informado @telediario_tve opinado @abc_es Antes @Inforadio_UCM Sígueme y sabrás qué pienso</t>
  </si>
  <si>
    <t>http://albertosanzblanco.wordpress.com</t>
  </si>
  <si>
    <t>Carl Gustav Jung</t>
  </si>
  <si>
    <t>Va por tí, @Santi_ABASCAL RT @inglesaldia: It gives me the goosebumps: Me pone la piel de gallina</t>
  </si>
  <si>
    <t>https://twitter.com/inglesaldia/status/1071128989392097284</t>
  </si>
  <si>
    <t>Really cares ?</t>
  </si>
  <si>
    <t>Ana la antipopulista</t>
  </si>
  <si>
    <t>Ahora entendeis por qué @Santi_ABASCAL lleva pistola, #PodemosEsChavismo ? RT @sterlingmrch: La vida de Santiago Abascal en su País Vasco natal: amenazas de muerte de ETA, su negocio familiar quemado en varias ocasiones y cartas de extorsión a su abuelo. ¿Qué nos apostamos a que esto no sale en los medios?</t>
  </si>
  <si>
    <t>Paco Pérez</t>
  </si>
  <si>
    <t>A este ritmo, @Santi_ABASCAL presentará las campanadas de fin de año en @laSextaTV</t>
  </si>
  <si>
    <t>Segurista, Corredor asfalto y montaña, Sevillista hasta la muerte, la RESPONSABILIDAD de ser ESPAÑOL</t>
  </si>
  <si>
    <t>Jorge</t>
  </si>
  <si>
    <t>Resouestas posibles: Si los españoles no encuentran trabajo, se tendrán que ir. Si dejamos de expoliar y organizar sus países, igual prefieren quedarse en su casa. Si reducimos la jornada laboral, trabajamos todos. Lo tuyo, @Santi_ABASCAL es racismo. RT @vox_es: 📺 ¿Es VOX un partido inconstitucional? @Santi_ABASCAL responde en dos minutos a @anarosaq en @elprogramadear #40AñosDeConstitución #DíaDeLaConstitución</t>
  </si>
  <si>
    <t>https://twitter.com/vox_es/status/1070648664102748162</t>
  </si>
  <si>
    <t>pic.twitter.com/P4q16pT5Wv</t>
  </si>
  <si>
    <t>Gamonaleando</t>
  </si>
  <si>
    <t>Por el descanso permanente. Adversario y enemigo del trabajo. En @el_cosaco_.</t>
  </si>
  <si>
    <t>http://elcosaco.org/</t>
  </si>
  <si>
    <t>Pah Chiclana Cádiz</t>
  </si>
  <si>
    <t>Al @Congreso_Es , @sanchezcastejon , @ConPabloCasado , @Pablo_Iglesias_ , @AlbertRiveraCiu y @Santi_ABASCAL . El Drama de los DESAHUCIOS no Cesa. ¿Otros 40 Años tenemos que esperar para hacer EFECTIVO éste Derecho e Impedir su ESPECULACIÓN? No es Justo un Salario = Un Alquiler.</t>
  </si>
  <si>
    <t>https://pbs.twimg.com/media/Dt1ncjOW4AEQ7iI.jpg</t>
  </si>
  <si>
    <t>Chiclana de la Frontera, Españ</t>
  </si>
  <si>
    <t>Salud, Esfuerzo y Libertad.</t>
  </si>
  <si>
    <t>Ana de Velasco</t>
  </si>
  <si>
    <t>Hoy me he enterado de que @Santi_ABASCAL es un "malcasado" y encima su mujer de ahora trabaja para Kaiku, que promociona su leche incluyendo a Navarra en Euskadi. Este es un conservador que defiende España o es otro nuevo vendedor de crecepelo?</t>
  </si>
  <si>
    <t>utrimque roditur. pro libertate patria, gens libera estate.</t>
  </si>
  <si>
    <t>Karcel-Seta 🦅 🇪🇸 🇺🇲 🇨🇵 🇮🇱</t>
  </si>
  <si>
    <t>LEER CON ATENCIÓN. Ver también la carta recibida por el padre de @Santi_ABASCAL y luego mirad en los ojos a PROGRES cómo @jordievole y los demás que vitorean a @ArnaldoOtegi RT @Cristi_latin: @karlseta_2 @vox_es @Santi_ABASCAL @ArnaldoOtegi</t>
  </si>
  <si>
    <t>https://twitter.com/Cristi_latin/status/1071122033910665216
https://www.elcorreo.com/politica/llegaba-carta-paraba-20171015221626-nt.html</t>
  </si>
  <si>
    <t>España 🇪🇸🇪🇸</t>
  </si>
  <si>
    <t>Facha recalcitrante. Cuando la mugre golpista, batasuna o progre comunisto-sociata me llama FACHA, me llena de orgullo</t>
  </si>
  <si>
    <t>Monte Luz</t>
  </si>
  <si>
    <t>El peligroso individuo Pablo Iglesias como no encuentra ya , porque nadie se lo cree, el argumento de inconstitucional para desprestigiar a VOX. Ahora recurre al de corrupto. Espero q @Santi_ABASCAL le ponga una buena querella por calumnia RT @RIVAS_Llanera: 📽 @Pablo_Iglesias_ califica a @vox_es como la corriente FRANQUISTA del @PPopular y a su líder @Santi_ABASCAL como un corrupto, bajo la Protección de @EsperanzAguirre 🔴 PREGUNTA ⁉️ ¿ Qué es @ahorapodemos y su líder ? @Pablo_Iglesias_ en Espejo Público.</t>
  </si>
  <si>
    <t>https://twitter.com/RIVAS_Llanera/status/1071017610152738817</t>
  </si>
  <si>
    <t>https://pbs.twimg.com/media/Dtkuw5oXcAIO9xZ.jpg</t>
  </si>
  <si>
    <t>un poco aquí un poco allá</t>
  </si>
  <si>
    <t>Soy de derechas porque soy buena persona</t>
  </si>
  <si>
    <t>Arturo Sanz 🇪🇸</t>
  </si>
  <si>
    <t>Merece la pena leerla @Santi_ABASCAL @vox_es</t>
  </si>
  <si>
    <t>https://pbs.twimg.com/media/Dt1k4VaWoAI3Qwo.jpg</t>
  </si>
  <si>
    <t>The Moon</t>
  </si>
  <si>
    <t>Enjoy the Silence ... Blockchain, go, go, go !!!</t>
  </si>
  <si>
    <t>Carmelo Di Fazio</t>
  </si>
  <si>
    <t>¡OPS! Knockout en el primer asalto, JAJAJAJA. Ya el Sr. @Santi_ABASCAL y @vox_es le han alterado el sueño a los gallegos. Fuerte abrazo. RT @Santi_ABASCAL: Eso mismo dijo Susana Díaz de Andalucía. 😂😂</t>
  </si>
  <si>
    <t>https://twitter.com/Santi_ABASCAL/status/1070809176320937985
https://twitter.com/libertaddigital/status/1070348344340303872</t>
  </si>
  <si>
    <t>Miami Fl</t>
  </si>
  <si>
    <t>Escritor, publicista, conocedor de mercadeo, asesor de medios, muy soñador, lleno de fe. Celebrando el éxito de mis 4 libros. publicidadcdifazio@gmail.com</t>
  </si>
  <si>
    <t>https://www.facebook.com/carmelodifazioescritor/</t>
  </si>
  <si>
    <t>German Rosado</t>
  </si>
  <si>
    <t>Pero donde va este hp de @Santi_ABASCAL RT @ahorapodemos: 📽️ Javier Ruiz (@Ruiz_Noticias) desmonta las mentiras de Vox en menos de tres minutos. 👇</t>
  </si>
  <si>
    <t>El atolondrado @pedroj_ramirez defendiendo deshumanizar a @Santi_ABASCAL. De esta forma, al no ser humano, si se muere por la razón que sea será la muerte de otro animal más, no de un humano. Enhorabuena, Pedro J. Eres el mayor atolondrado del periodismo de este año.</t>
  </si>
  <si>
    <t>Periodista Digital</t>
  </si>
  <si>
    <t>Twitter estalla al descubrirse las cuestionables prácticas periodísticas de Évole con Abascal: "¡Sangüijuela!"</t>
  </si>
  <si>
    <t>Influir en la gente que influye. Síguenos también en https://www.facebook.com/PeriodistaDigit</t>
  </si>
  <si>
    <t>http://www.periodistadigital.com</t>
  </si>
  <si>
    <t>María Jesús 🇪🇸</t>
  </si>
  <si>
    <t>Último montaje podemita contra Abascal... Como hay burros que creen que Santi va en chandal al Valle a besar a Franco.. Ni se molestan en hacerlo bien</t>
  </si>
  <si>
    <t>https://pbs.twimg.com/media/Dt1jbZxW0AUtjGg.jpg</t>
  </si>
  <si>
    <t>Almeria-Madrid-Manchester.</t>
  </si>
  <si>
    <t>Madridista y Mourinhista. Estoy tan alejada del fascismo como del comunismo. Soy liberal (Clara Campoamor) Instagram : @marjmg</t>
  </si>
  <si>
    <t>Frida K. 🏴🎗</t>
  </si>
  <si>
    <t>Santi Abascal haciendo flexiones en el gym. RT @danierdecai35: Santi Abascal susurrándole a Franco que él no es de extrema derecha.</t>
  </si>
  <si>
    <t>República de Catalunya</t>
  </si>
  <si>
    <t>Espero alegre la salida y espero no volver jamás!</t>
  </si>
  <si>
    <t>Mientras PP Y CIUDADANOS están deshojando la margarita... a @vox_es se le ha estropeado el sistema de afiliaciones ante la inmensa y colosal avalancha de afiliaciones....TODA ESPAÑA ESTÁ CON @Santi_ABASCAL</t>
  </si>
  <si>
    <t>https://okdiario.com/espana/2018/12/07/echenique-llama-torrente-abascal-santiago-segura-pone-sitio-3440190?utm_campaign=ok&amp;utm_medium=Social&amp;utm_source=Twitter#Echobox=1544209932</t>
  </si>
  <si>
    <t>🎄🤶🏻 Merry Xmas!!! 🎅🏻🎄</t>
  </si>
  <si>
    <t>Oye, @Santi_ABASCAL , si te tropezaste... ¿podríamos decir que te cruzaste con un FRANCO-tirador?</t>
  </si>
  <si>
    <t>https://pbs.twimg.com/media/Dt1h7zxXQAYkYUw.jpg</t>
  </si>
  <si>
    <t>Queda inaugurada la temporada de villancicos 2018</t>
  </si>
  <si>
    <t>IgnatiusReally</t>
  </si>
  <si>
    <t>Después de ver en youtube la entrevista de la nueva sacerdotisa inquisitorial @anarosaq con @Santi_ABASCAL ya tengo decidido que que le voy a dar una oportunidad a @vox_es .Le presto el voto,no se lo doy. Sólo es un préstamo.Gracias Ana Rosa, tu insuperable arrogancia es mi guía.</t>
  </si>
  <si>
    <t>Bilbao, España</t>
  </si>
  <si>
    <t>Baloncesto Cooperacion Internacional Educacion Empresa Y Negocios Espiritualidad Empleo Economia Empresa Escritores Filosofia Espiritualidad Política y Gobierno</t>
  </si>
  <si>
    <t>👏👏 RETUITEA A TOPE 👏👏 Por mucho que se llame facha a @vox_es , nuestra admiración a @Santi_ABASCAL y familia por su valentía. Y los PROGRES que dan lecciones y se lo montan con @ArnaldoOtegi , QUE LEAN ESTA CARTA. BRAVO, SANTI 👏👏👏👏</t>
  </si>
  <si>
    <t>https://pbs.twimg.com/media/Dt1gqMBXQAIPnz9.jpg</t>
  </si>
  <si>
    <t>JESUS ROJO</t>
  </si>
  <si>
    <t>El podemita Echenique compara a Santi Abascal con 'Torrente' y las redes lo fulminan</t>
  </si>
  <si>
    <t>http://www.periodistadigital.com/politica/partidos-politicos/2018/12/06/el-ultra-de-extrema-izquierda-echenique-compara-a-abascal-son-torrente-y-las-redes-lo-fulminan.shtml</t>
  </si>
  <si>
    <t>Economista/Auditor/MBA Jubilado/Senior SECOT.Mentor. Mis principios ética,honradez,cultura y la politica bien hecha.La socidad civil tiene que moverse.</t>
  </si>
  <si>
    <t>Beat Miró</t>
  </si>
  <si>
    <t>#Españoles, nunca olviden que @Santi_ABASCAL es #vasco y @Albert_Rivera #catalán, no lo olviden.</t>
  </si>
  <si>
    <t>https://pbs.twimg.com/media/Dt1gdhcW4AAp5XN.jpg</t>
  </si>
  <si>
    <t>Sant Joan de les Abadesses</t>
  </si>
  <si>
    <t>Català, etern candidat a la santedat. Ciutadà de la República Catalana.</t>
  </si>
  <si>
    <t>🌴🌴TU Y YO🌴🌴🌴</t>
  </si>
  <si>
    <t>ESPAÑOLES...EL SISTEMA DE AFILIACIÓN A VOX SE COLAPSA..DE LA GRAN AVALANCHA DE AFILIACIONES..SE HA ESTROPEADO. EL SISTEMA QUE NO ESTABA PEEPARADO PARA CIENTOS DE MILES Y MILES DE AFILIADOS.. ESTO ES LA BOMBAAAAA VIVA @Santi_ABASCAL</t>
  </si>
  <si>
    <t>correo electrónico: lunadebenidorm@gmail.com</t>
  </si>
  <si>
    <t>Pepe William Munny</t>
  </si>
  <si>
    <t>Aunque Gil Robles era el líder de la derecha mayoritaria, José Calvo Sotelo lo desplazó por su valentía en la Primavera Trágica de 1936, y las derechas empezaron a identificarse con él, como hoy con @Santi_ABASCAL. Dos patriotas de verdad.</t>
  </si>
  <si>
    <t>https://pbs.twimg.com/media/Dt1fvj9WkAIjHCI.jpg</t>
  </si>
  <si>
    <t>Periodista. Mi guía, Montanelli y su frase: La independencia siempre es posible. aunque cuesta cara, no sólo en términos monetarios, también en desarraigo.</t>
  </si>
  <si>
    <t>http://directoalmentonjosequijadarubira.blogspot.com.es</t>
  </si>
  <si>
    <t>El Loko de Pitres</t>
  </si>
  <si>
    <t>El coletas, capo de la #OrganizaciónCriminal @ahorapodemos da la razón a ⁦@Santi_ABASCAL⁩ “El derecho a portar armas es una de las bases de la democracia”.</t>
  </si>
  <si>
    <t>https://okdiario.com/espana/2018/12/07/iglesias-da-razon-abascal-derecho-portar-armas-bases-democracia-3438627/amp</t>
  </si>
  <si>
    <t xml:space="preserve">Sobre el oscuro abismo </t>
  </si>
  <si>
    <t>"El #Socialismo no procede del pueblo. Es una doctrina de "intelectuales" que tuvieron la arrogancia de creer que podrían planificar mejor la vida de todos"</t>
  </si>
  <si>
    <t>Atención...se colapsa el sistema de afiliación de @vox_es ante la avalancha de peticiones....VIVA @Santi_ABASCAL</t>
  </si>
  <si>
    <t>https://www.mediterraneodigital.com/espana/mundo/increible-se-colapsa-el-sistema-de-afiliacion-de-vox-tras-la-avalancha-de-peticiones.html?fbclid=IwAR3wUEds_j7Gy0QhQ1QvdQVROtvHGXsb7gGLPW3nzJWOjs3yyYlFW1FGi4E</t>
  </si>
  <si>
    <t>José Calvo Sotelo, como hoy @Santi_ABASCAL, decía las verdades en las Cortes al Frente Popular marxista, que no podía permitir que delatara su terror e ilegalidad. Por eso lo asesinaron.</t>
  </si>
  <si>
    <t>La brutal cacería a la que es sometida @vox_es y su presidente @Santi_ABASCAL es propia de naciones marxistas, donde el opositor no está permitido y es exterminado.</t>
  </si>
  <si>
    <t>ELOY</t>
  </si>
  <si>
    <t>se les ha Olvidado que @Santi_ABASCAL nunca entraria en el Valle de Los Caidos vestido de montañero. Su respeto por el Caudillo es muy superior al que los podemierdas tienen !! RT @Miotroyo2parte: Hoy están todos los podemitas y los separatistas alteradísimos por una fotografía de @Santi_ABASCAL besando la tumba de Franco que está corriendo como la pólvora por las redes. Es un fake como una casa, pero eso para ellos es lo de menos.</t>
  </si>
  <si>
    <t>https://twitter.com/Miotroyo2parte/status/1070994564868128769</t>
  </si>
  <si>
    <t>https://pbs.twimg.com/media/Dtzv4CuXcAA5HMu.jpg</t>
  </si>
  <si>
    <t>ESPAÑOL, Sevillano, Católico, Cazador, Taurino, turfero y Sevillista. Twitter DE OPINIÓN PERSONAL !!!</t>
  </si>
  <si>
    <t>R.</t>
  </si>
  <si>
    <t>“Tu paraíso es nuestro infierno. Tus amigos son nuestros enemigos. Y tus héroes, Pablo, son nuestros villanos. Y tú –siento decirlo y siento pensarlo– eres todo eso a la vez, sin matices, el enemigo, un villano y el infierno mismo.” @Santi_ABASCAL @vox_es</t>
  </si>
  <si>
    <t>Madrid - Santander</t>
  </si>
  <si>
    <t>Madridista y española; en ese orden.</t>
  </si>
  <si>
    <t>Antonio_Delgado</t>
  </si>
  <si>
    <t>Santi Abascal exige para apoyar a Pp y CS , que cuando expongan #AvengersEndgame en los cines andaluces , Hulk lleve el escudo de la guardia civil</t>
  </si>
  <si>
    <t>Entrevías , Vallekas</t>
  </si>
  <si>
    <t>Mi madre me decía , No eres más tonto porqué no te entrenas ... y aquí estoy , en Twitter dándolo todo 😉</t>
  </si>
  <si>
    <t>Diego J. Montero</t>
  </si>
  <si>
    <t>No quiero ni pensar qué estaría diciendo @laSextaTV si un zumbao que dice públicamente que va a salir a matar, en este caso rojos, se hace una foto con @Santi_ABASCAL Pero como es podemita y amenaza con matar fachas, aquí todos encantados y que pase el siguiente. Asco de país</t>
  </si>
  <si>
    <t>Madridista y Fundador del blog @el_ckms http://elcuentakilometros.com. Orgulloso miembro de @meritoRMCF y @RMadridistaReal “Nunca es tarde para aprender"</t>
  </si>
  <si>
    <t>http://www.elcuentakilometros.com</t>
  </si>
  <si>
    <t>KARADE🇪🇸KONA</t>
  </si>
  <si>
    <t>Viva la @guardiacivil @UnionGC @APROGC Porque defienden lo nuestro. @GuajeSalvaje @Santi_ABASCAL @marubimo @ElAguijon_ @CristinaSegui_ @Miotroyo2parte @unchinodechina @LaRetuerka @pigdemont_ @LadyPotorro @vox_es @Alvisepf 🇪🇸🇪🇸🤣🤣🇪🇸🇪🇸 Me meo to@, me ha llegado por WhatsApp 👇🏼👇🏼</t>
  </si>
  <si>
    <t>pic.twitter.com/SGS4zlBrSz</t>
  </si>
  <si>
    <t>EUROPA</t>
  </si>
  <si>
    <t>ORGULLOS@ DE MI PAÍS Y MI BANDERA. SIN ESFUERZO, SIN DEDICACIÓN Y SIN CONSTANCIA NO SE CONSIGUE NADA HONRADAMENTE.</t>
  </si>
  <si>
    <t>Juan José Aizcorbe</t>
  </si>
  <si>
    <t>La Cataluña de hoy, regada y creada durante décadas en el regazo de los “prudentes” (PSOE-PP). Esa es la realidad larvada durante años. La necesidad de @vox_es más que nunca, en defensa del orden, la legalidad y la libertad. @Santi_ABASCAL extrema necesidad RT @Bcnisnotcat_: ¡¡ATENCIÓN!! Pedimos ayuda a toda #España. Los separatistas están provocando altercados en toda Cataluña. Han escogido el día de la Constitución para tomar las calles. Los medios lo silencian. Ya no podemos más. EXIJIMOS QUE SE APLIQUE EL ARTÍCULO 155. A qué espera el presidente?</t>
  </si>
  <si>
    <t>https://twitter.com/bcnisnotcat_/status/1070801745968852992</t>
  </si>
  <si>
    <t>pic.twitter.com/HVD6msgDY1</t>
  </si>
  <si>
    <t>Abogado, católico, español, catalán. De niño San Sebastián, después Barcelona, ahora Madrid. Una necesidad escuchar, aprender y pedir perdón.</t>
  </si>
  <si>
    <t>http://www.aizcorbe.com</t>
  </si>
  <si>
    <t>Koke Cabrera 🎨🕺🏋️💪😎🤜</t>
  </si>
  <si>
    <t>Para los que acusan a @Santi_ABASCAL de peligroso, deberían ver el vídeo. Lo mismo se les caería la cara de vergüenza al suelo. Aunque conociendo sus ideologías, vergüenza, no tienen nada. #LaSilenciosaCat #NoSomosFachas #SomosEspañoles #SinComplejos</t>
  </si>
  <si>
    <t>pic.twitter.com/DqKPKBRHMF</t>
  </si>
  <si>
    <t>De paso por el mundo. Observo, analizo, y hago crítica objetiva de la vida. No apto para mentes obtusas. Cómo todos, tengo mi lado oscuro.😎 #LaSilenciosaCat 📢</t>
  </si>
  <si>
    <t>Carlos Armada</t>
  </si>
  <si>
    <t>El lunes o el martes anunciaremos vía, nota o rueda de prensa, una noticia sobre los #fascistas de @vox_es, el pirado @FSerranoCastro, el cobarde de @Santi_ABASCAL, o la desnortada @isequiser96...probarán la medicina que usan y se enfrentarán a lo que hacen #fascismonuncamas</t>
  </si>
  <si>
    <t>Redondela, España</t>
  </si>
  <si>
    <t>Portavoz de Xuntos, (Movemento Republicano Galego), Anti-fascista, Anti-corrupción. Criminólogo e Perito Xudicial...#Actuemos</t>
  </si>
  <si>
    <t>pablo franco abogado</t>
  </si>
  <si>
    <t>Yo estuve como escolta en uno muy parecido. La toma d posesión dl único concejal dl PP n Elorrio. No he votado a vox, no voy a votar a vox, pero qn m diga q @Santi_ABASCAL siempre ha vivido d la política, si quiere le explico lo que era ser concejal allí</t>
  </si>
  <si>
    <t>https://www.youtube.com/watch?v=S8_g6JS2z24&amp;feature=youtu.be&amp;fbclid=IwAR3uFmgyHzOIXn7MTf6kyAE2wNZyhjRqYPLH3eF_CO_Kq6xX1EbLHSwVJy8</t>
  </si>
  <si>
    <t>De montealto, neno.</t>
  </si>
  <si>
    <t>abogado de ración con guarnición de MBA.</t>
  </si>
  <si>
    <t>donDiario.com</t>
  </si>
  <si>
    <t>¡BRUTAL! El VÍDEO de @Santi_ABASCAL que RETRATA a la cúpula de PODEMOS 🎥  #Vox #Podemos</t>
  </si>
  <si>
    <t>https://bit.ly/2Eh8CyN</t>
  </si>
  <si>
    <t>https://pbs.twimg.com/media/Dt0UTXcXcAAd1vt.jpg</t>
  </si>
  <si>
    <t>Twitter oficial del diario digital http://donDiario.com . ➡ Facebook: https://www.facebook.com/donDiario/ Instagram: https://www.instagram.com/dondiario</t>
  </si>
  <si>
    <t>http://www.dondiario.com/</t>
  </si>
  <si>
    <t>Afectados AIDA</t>
  </si>
  <si>
    <t>Pedimos una Auditoría de @IDEAJunta e #Invercaria Con cierre de ambas o al menos cese de todos los directores provinciales y nombramiento de gente competente. Medida urgente para arrancar el desarrollo real de la comunidad @Santi_ABASCAL @pablocasado_ @Albert_Rivera</t>
  </si>
  <si>
    <t>Plataforma de Afectados por las Ayudas de #Innovación y #Desarrollo de Andalucía para #Autónomos y #Empresas Luchamos contra la corrupción y por el progreso</t>
  </si>
  <si>
    <t>https://mailchi.mp/e831ff79b9e8/plataformaaida</t>
  </si>
  <si>
    <t>Bertín the King</t>
  </si>
  <si>
    <t>Si algo es España, es amor. Amor al diferente, amor al que no piensa como tú. Aquí vemos una foto de un español no-franquista y no-fascista besando la tumba de un dictador. Gran lección de @Santi_ABASCAL #BuenViernes</t>
  </si>
  <si>
    <t>https://pbs.twimg.com/media/Dt1WQljX4AEqzFN.jpg</t>
  </si>
  <si>
    <t>Libre pensador, donante de placer y ante todo ciudadano de centro. Ah bueno, también canto, presento programas y tal, pero lo hago porque desgrava. Fake</t>
  </si>
  <si>
    <t>carmen rodriguez</t>
  </si>
  <si>
    <t>Lo que mas le molesta a @Pablo_Iglesias_ es que @Santi_ABASCAL va a ser implacable con él, que también chupa del bote. La diferencia es que ahora si hay un partido con un líder sin complejos. Sera divertido verles en el Parlamento dentro de muy poco. RT @RIVAS_Llanera: 📽 @Pablo_Iglesias_ califica a @vox_es como la corriente FRANQUISTA del @PPopular y a su líder @Santi_ABASCAL como un corrupto, bajo la Protección de @EsperanzAguirre 🔴 PREGUNTA ⁉️ ¿ Qué es @ahorapodemos y su líder ? @Pablo_Iglesias_ en Espejo Público.</t>
  </si>
  <si>
    <t>barcelona (Spain)</t>
  </si>
  <si>
    <t>.@Albert_Rivera @pablocasado_ @Santi_ABASCAL hay q acelerar el desalojo de @AndaluciaJunta para q no destruyan más pruebas ni metan más enchufados.Todo nuestro apoyo para deshacer lo q va mal y proponer las mejoras q necesitamos para que Andalucía lidere el progreso y desarrollo</t>
  </si>
  <si>
    <t>Jaime de Berenguer</t>
  </si>
  <si>
    <t>Cierro los ojos e imagino a @Santi_ABASCAL diciendo que no reconoce los resultados electorales y que hay que tomar las calles. Le imagino diciendo que la Constitución es una farsa y que hay que derrocar al Rey. ¿Imagináis? Pero no es él quien lo dice, sino @Pablo_Iglesias_</t>
  </si>
  <si>
    <t>Digo lo que pienso, a veces me equivoco. “Hay que apartar de nosotros el mal gusto de querer coincidir con muchos” Nietzsche.Liberal. Concejal de Madrid 2011-15</t>
  </si>
  <si>
    <t>🔴🔴🔴🔴🔴🔴¡HACED CORRER ESTA FOTO QUE HAN ELABORADO LAS HORDAS COMUNISTAS DE @Pablo_Iglesias_ Y SU CHUSMA CREYENDO QUE CON ESO LES VAN A QUITAR SEGUIDORES A @vox_es @Santi_ABASCAL . CREEN QUE LOS ESPAÑOLES SOMOS TAN CORTITOS COMO ELLOS. 😆😆😆😆</t>
  </si>
  <si>
    <t>https://pbs.twimg.com/media/Dt1S8VyWwAE-Wnv.jpg</t>
  </si>
  <si>
    <t>Cruz Verde</t>
  </si>
  <si>
    <t>Uno oye esto, y se acuerda de cuando se acusa a @Santi_ABASCAL de construir su discurso con estadísticas manipuladas. RT @PoliciaSXXI: 🔊Sras. Diputadas del @PPopular; @HernandezBento, @TeresaPalTous y @anadebande, repitan conmigo: ➖La estadística se manipula. ➖No debo discutir a expertos si soy una ignorante, es mejor escucharlos atentamente. El #ModeloUnaPoliciaSXXI terminara con estas prácticas. Hilo👇</t>
  </si>
  <si>
    <t>https://twitter.com/PoliciaSXXI/status/1071072680718331909</t>
  </si>
  <si>
    <t>pic.twitter.com/LSGPLvBwAo</t>
  </si>
  <si>
    <t>Uno de los fundadores de PLAFARMA,asociación constituída para lograr la libertad de ejercicio profesional en el sector farmacéutico. Mis opiniones son sólo mías</t>
  </si>
  <si>
    <t>http://www.plafarma.org</t>
  </si>
  <si>
    <t>Beatriz Dguez.🇪🇸🖌</t>
  </si>
  <si>
    <t>Vaya campaña hay en redes sociales, prensa e internet en contra de VOX, es como si una mano invisible estuviera dirigiendo la resistencia contra este partido. En vez de fijarse en regímenes totalitarios y en contra de los derechos humanos, son unánimes en ir contra Santi Abascal.</t>
  </si>
  <si>
    <t>Madrid (Spain)</t>
  </si>
  <si>
    <t>Me gusta el Arte, and the voice of Mick Hucknall.</t>
  </si>
  <si>
    <t>http://www.bellasartes.ucm.es/</t>
  </si>
  <si>
    <t>Moisés Laparra</t>
  </si>
  <si>
    <t>Venga venga venga, más motivos para seguir apoyando y votando a @vox_es ¡vamos @Santi_ABASCAL ! RT @Miotroyo2parte: Hoy están todos los podemitas y los separatistas alteradísimos por una fotografía de @Santi_ABASCAL besando la tumba de Franco que está corriendo como la pólvora por las redes. Es un fake como una casa, pero eso para ellos es lo de menos.</t>
  </si>
  <si>
    <t>https://twitter.com/miotroyo2parte/status/1070994564868128769</t>
  </si>
  <si>
    <t>Cabreados 24h : @pablocasado_: 877 @Albert_Rivera: 1328 @Pablo_Iglesias_: 5199 @Santi_ABASCAL: 6955 @sanchezcastejon: 8488</t>
  </si>
  <si>
    <t>https://pbs.twimg.com/media/Dt1RblAX4AEhySz.png</t>
  </si>
  <si>
    <t>Bittar Barbara</t>
  </si>
  <si>
    <t>#ESPANA #VALENCIA IMPERDIBLE ESTO @PPopular @PPE_ES @vox_es @CiudadanosCs @gimenezbarbat @beatrizbecerrab @ALDEgroup @Europarl_ES @Santi_ABASCAL @monasterioR @abc_es @elpais_espana @larazon_es @europapress @okdiario RT @barbara_bitar: EDITORIAL: La visita de Mariela Castro al Ayuntamiento de Valencia es inadmisible #ESPANA IMPERDIBLE EL DOBLE STANDARD DE ESTOS FUNCIONARIOS DEL AYUNTAMIENTO DE #VALENCIA REUNIÉNDOSE CON LA HIJA DEL DICTADOR DE #CUBA #MARIELACASTRO ⁦@vox_es⁩ ⁦</t>
  </si>
  <si>
    <t>https://twitter.com/barbara_bitar/status/1071100537985212416
https://www.cibercuba.com/noticias/2018-12-07-u192223-e192519-s27061-editorial-visita-mariela-castro-al-gobierno-valencia</t>
  </si>
  <si>
    <t>Paradise, CA</t>
  </si>
  <si>
    <t>Human rights activist Christian anti communist and I love animals</t>
  </si>
  <si>
    <t>Mister Flask</t>
  </si>
  <si>
    <t>Mi teoría es que Thanos es ahora un granjero extremeño y Ant Man es Santi Abascal, que va a derrotarle liberalizando sus tierras y mandándole de vuelta a su planeta</t>
  </si>
  <si>
    <t>'Para ser buen terrorista hay que saber de ciencias''. Química UCM.</t>
  </si>
  <si>
    <t>http://instagram.com/quimicodelamuerte/</t>
  </si>
  <si>
    <t>Antes de empezar me interesa implicar en esta reflexión al @PoderJudicialEs, @fiscal_es, @tsj_cat @interiorgob @policia @guardiacivil @Albert_Rivera @pablocasado_ @Santi_ABASCAL @Congreso_Es @Senadoesp Empezamos:</t>
  </si>
  <si>
    <t>Ana Cubilla ن 🇪🇸🇪🇺</t>
  </si>
  <si>
    <t>Me dispongo a ver la entrevista de Ana Rosa a @Santi_ABASCAL . A ver qué tipo de humanización ha hecho, va vaya a ser que los **** (poned lo que más os guste) de El Español tengan razón .</t>
  </si>
  <si>
    <t>Ibiza-Madrid</t>
  </si>
  <si>
    <t>Dentro de un vestido rojo.</t>
  </si>
  <si>
    <t>Bribón de Extrema Derecha</t>
  </si>
  <si>
    <t>💜Para #Podemos, Santi Abascal lleva pistola pq es un fascista, ergo es violento, machista, etc 💜Para #Podemos, Otegi es un hombre de paz, y lideraba un equipo de valientes gudaris, que llevaban pistola y mataron más de 850 inocentes por razones políticas 🆘Así está el nivel🙈 RT @pnique: - Abascal es fascista. + ¡Ha llamado fascistas a los votantes de Vox! - Abascal dice que siempre lleva pistola. + ¡Ha acusado a los votantes de Vox de llevar pistola! - Abascal se apellida Abascal. + ¡Dice que los votantes de Vox se apellidan Abascal! Así está el nivel. 🙈</t>
  </si>
  <si>
    <t>https://twitter.com/pnique/status/1070041235048534016</t>
  </si>
  <si>
    <t>Vivimos en una Sociedad donde los Hombres buenos son ignorados como hormigas y los malos adorados como Dioses (Simón Von Fordback, ¿?) ⛔No multimenciones⛔</t>
  </si>
  <si>
    <t>Libertad&amp;Memes✌️🇪🇸</t>
  </si>
  <si>
    <t>Porque @Santi_ABASCAL no es humano para esta ralea comunista... Así estamos. Haces bien Víctor! RT @sanchezdelreal: Como accionista y suscriptor de @elespanolcom alucino esto tenga su hueco. La deriva es alucinante. Mañana definitivamente cancelo suscripción. Esto es de vergüenza.</t>
  </si>
  <si>
    <t>https://twitter.com/sanchezdelreal/status/1070804427131494401</t>
  </si>
  <si>
    <t>https://pbs.twimg.com/media/DtxC8OGXcAEOK1u.jpg</t>
  </si>
  <si>
    <t>Memes y opiniones sobre la #Libertad [#MAGA] [Gab: http://gab.ai/iSemperLiber] [Biblioteca personal: http://goo.gl/pdUJGF]</t>
  </si>
  <si>
    <t>https://www.youtube.com/channel/UCQ5QSoJnTf-w7DdIRMCsDyA</t>
  </si>
  <si>
    <t>Hispanic Nurse</t>
  </si>
  <si>
    <t>Atención: lo más correcto es decir "SOBRE LA MESA", sobre, no "encima de la mesa" #Español #Hablarbien @Jacogori @RAEinforma @Santi_ABASCAL @Alternativa_VOX @vox_es @voxnoticias_es RT @Alternativa_VOX: Ayer el CEN de @vox_es puso encima de la mesa sus exigencias para apoyar un gobierno de cambio en Andalucía: -Cerrar Canal Sur -Eliminar la expresión "realidad nacional" del Estatuto de Autonomía -Devolución de las competencias de Sanidad y Educación</t>
  </si>
  <si>
    <t>https://twitter.com/Alternativa_VOX/status/1070724183422889985</t>
  </si>
  <si>
    <t>https://pbs.twimg.com/media/Dtv59xuXQAIohg-.jpg</t>
  </si>
  <si>
    <t>USA</t>
  </si>
  <si>
    <t>Hispanic Nurse, #ProLife #ProFamily #ProWomen #DiaperNeed #Catholic #Polyglot #Cristiandad #Hispanidad #Español Enfermera Hispana en este bello país #USA🇺🇸</t>
  </si>
  <si>
    <t>El cuarto es poco, vamos a por todas. @vox_es es de extrema necesidad para España, así que a seguir luchando, apoyando y votando a todo el equipo de @Santi_ABASCAL El desembarco va a ser total, incluida Galicia. RT @CasoAislado_Es: Ya lo informamos esta semana. Las afiliaciones a @vox_es se han disparado. Ahora podemos confirmar que está a un paso de superar a Ciudadanos, convirtiéndose en el cuarto partido con más afiliados de toda España.</t>
  </si>
  <si>
    <t>https://twitter.com/CasoAislado_Es/status/1071087361986125824
https://casoaislado.com/espectacular-vox-esta-a-un-paso-de-convertirse-en-el-cuarto-partido-con-mas-afiliados-de-toda-espana/</t>
  </si>
  <si>
    <t>ESPAÑA PRIMERO 🇪🇸</t>
  </si>
  <si>
    <t>Oye @Santi_ABASCAL aquí tienes alguien que va difundiendo montajes sobre ti para intentar engañar a la gente, lo digo por si en algún momento se quieren interponer acciones legales hacia esta persona. RT @danierdecai35: Santi Abascal susurrándole a Franco que él no es de extrema derecha.</t>
  </si>
  <si>
    <t>Si te llaman facha por sentirte español, esta es tu cuenta. Que no te engañen. Aquí verás lo que los medios no quieren que sepas.</t>
  </si>
  <si>
    <t>walewska</t>
  </si>
  <si>
    <t>Santi Abascal pone en su sitio al obsesionado de Pablo Echenique!</t>
  </si>
  <si>
    <t>http://bit.ly/2TziKr7</t>
  </si>
  <si>
    <t>el Mundo</t>
  </si>
  <si>
    <t>Anticomunista,anti-religiones extremistas, anti-feministas radicales.Bloqueada por Iglesias, Otegi,Boye,W.Toledo,Diosdado Cabello y suma y sigue! Amo a 🇻🇪🇪🇸</t>
  </si>
  <si>
    <t>Plataforma #LaSilenciosaCat</t>
  </si>
  <si>
    <t>Qué a @Santi_ABASCAL Le tachen de ultra cuando él y su familia han sido víctimas de ETA es inusual. Los que se hacen 📸 con filoetarras e independentistas que son? Demócratas? @vox_es es un partido de derechas #SinComplejos #LaSilenciosaCat Abrimos HILO 👇</t>
  </si>
  <si>
    <t>https://pbs.twimg.com/media/Dt1KA-2W0AAr7VS.jpg</t>
  </si>
  <si>
    <t>El primer paso hacia el cambio es la conciencia. El segundo paso es la aceptación (Nathaniel Branden)</t>
  </si>
  <si>
    <t>http://lasilenciosacat.es</t>
  </si>
  <si>
    <t>Teresa</t>
  </si>
  <si>
    <t>Yo estoy disfrutando( y perdonad que sea bruta) más que un guarro en una charca 😂: los periodistas a muerte contra @vox en cada entrevista y ellos saliendo con orejas y rabo por la puerta grande. Y Oleeeeeeeeee!!! @Santi_ABASCAL @Ortega_Smith</t>
  </si>
  <si>
    <t>Málaga</t>
  </si>
  <si>
    <t>Privilegiada que vive en Málaga, mi mejor trabajo ser madre, mi pasión el mar; valoro y disfruto lo que tengo. Mis fallos? Uiss que lo averiguen los demás...</t>
  </si>
  <si>
    <t>Antonio Román🇪🇸</t>
  </si>
  <si>
    <t>Campaña de firmas en  para ilegalizar a @vox_es mitin de la portavoz del gobierno contra vox, ladridos en todas las televisiones y fotos fake en contra de @Santi_ABASCAL No es esto, no es esto-Ortega-banda de progres.</t>
  </si>
  <si>
    <t>http://Change.org</t>
  </si>
  <si>
    <t>https://pbs.twimg.com/media/Dt1H1qtWoAcivNZ.jpg</t>
  </si>
  <si>
    <t>Defiendo la unidad de España y a los españoles libres e iguales.</t>
  </si>
  <si>
    <t>http://antonioromansanchezrodriguez.blogspot.com.es/</t>
  </si>
  <si>
    <t>A González Churiaque ن 🇪🇸</t>
  </si>
  <si>
    <t>Manda narices. Los medios de comunicación alertan por el auge de la #ExtremaDerecha de @vox_es y @Santi_ABASCAL pero callan la violencia de la #ExtremaIzquierda que ya lleva una sosteniendo el desgobierno del #OkupaDeLaMoncloa. Los verdaderos fascistas son estos últimos. 🇪🇸 RT @TR88trader: @Santi_ABASCAL @elespanolcom @pedroj_ramirez Empujado,golpeado, escupido,insultado,amenazado,ninguneado por los medios y con 2 cojones de subirse a un banco en Sevilla con un amplificador a seguir defendiendo sus principios y los de muchos sin miedo a nadie.Este es Santi Abascal,este es el presidente de España.</t>
  </si>
  <si>
    <t>https://twitter.com/TR88trader/status/1070806296075624448</t>
  </si>
  <si>
    <t>pic.twitter.com/y9xH5stEOA</t>
  </si>
  <si>
    <t>Zaragoza, España</t>
  </si>
  <si>
    <t>#VERDE 👑 #AdiestramientoCanino #Cinología, #CommunityManager #ComunicaciónCorporativa saharaui de nacimiento, aragonés de adopción y español de corazón 🇪🇸</t>
  </si>
  <si>
    <t>VOX Tetuán Madrid</t>
  </si>
  <si>
    <t>🔴📈 ¡Más de 20.000 afiliados! Se colapsa el sistema de afiliación de VOX tras la avalancha de peticiones, el crecimiento del partido se ha disparado en la última semana ✌🏻🇪🇸 Cada vez más españoles quieren formar parte de la #EspañaViva #VotaVOX @vox_es @Santi_ABASCAL</t>
  </si>
  <si>
    <t>https://pbs.twimg.com/media/Dt1DAPXWsAAabDY.jpg</t>
  </si>
  <si>
    <t>Cuenta oficial de @vox_es en el distrito de Tetuán (Madrid) VOX es un partido liberal conservador y humanismo cristiano tetuan.madrid@madrid.voxespana.es</t>
  </si>
  <si>
    <t>http://voxespana.es/vox</t>
  </si>
  <si>
    <t>#ServicioCívicoMilitarEspaña Los españoles tienen el derecho y el deber de defender a España. Podrá establecerse un servicio civil para el cumplimiento de fines de interés general. Art. 30.1 y 30.3 de La Constitución Española #EspañaLoPrimero @vox_es @Santi_ABASCAL</t>
  </si>
  <si>
    <t>LuisFPrieto</t>
  </si>
  <si>
    <t>"La política es una guerra para defender tus ideas: La Libertad" @Santi_ABASCAL</t>
  </si>
  <si>
    <t>Guatemala</t>
  </si>
  <si>
    <t>MKT/MBA. 🇬🇹 🇪🇸 Joyero. Fotógrafo. ANCAP Hoppeano.</t>
  </si>
  <si>
    <t>http://www.luisfprieto.com</t>
  </si>
  <si>
    <t>16bits🕹 🇪🇸</t>
  </si>
  <si>
    <t>El diario comunista llamado "El Español", para intentar camuflarse usando dicho nombre, se queja de no deshumanizar, a @Santi_ABASCAL por parte del programa de Ana Rosa Quintana. Parece que haya que fomentar el odio y la violencia contra este señor.</t>
  </si>
  <si>
    <t>Si te gustan los videojuegos compartimos afición 😄 Los niños tienen pene. Las niñas tienen vagina. Para todo lo demás: ideologías.</t>
  </si>
  <si>
    <t>El temor que infunde VOX es por el miedo de los ultra corruptos del PSOE. Los ultra mercenarios comunistas Podemos, los ultra golpistas y ultra malversadores catalanes y los ultra terroristas ETA. @FJL_EsRadio @Ortega_Smith @Santi_ABASCAL @monasterioR VIVA VOX VOTO VOX.</t>
  </si>
  <si>
    <t>Alex Aramberri</t>
  </si>
  <si>
    <t>Con lo que ha pasado @Santi_ABASCAL por defender la libertad, es una vergüenza que la izquierda tache a @vox_es de fascista mientras los Podemitas llaman a manifestarse contra los resultados de unas elecciones democráticas</t>
  </si>
  <si>
    <t>pic.twitter.com/pqjI1SdQLG</t>
  </si>
  <si>
    <t>Joseph</t>
  </si>
  <si>
    <t>Los morancos ya predijeron a Abascal y su programa electoral de VOX en canal sur... Esto de Franco, el valle de los caídos, el viva España etc ya lo vimos, pero no era serio. @Santi_ABASCAL @vox_es</t>
  </si>
  <si>
    <t>pic.twitter.com/Ukgy6mKFwK</t>
  </si>
  <si>
    <t>Rivendel</t>
  </si>
  <si>
    <t>Valar morghulis</t>
  </si>
  <si>
    <t>Esto no lo para nadie. VOX es mucho con demasiado. Un movimiento por la defensa de la unidad de España y sus instituciones democráticas contra la ramera PSOE que duerme en la misma cama con comunistas, golpistas malversadores y terroristas ETA. @FJL_EsRadio @Santi_ABASCAL RT @voxnoticias_es: 🔴📈 ¡Más de 20.000 afiliados! Se colapsa el sistema de afiliación de VOX tras la avalancha de peticiones, el crecimiento del partido se ha disparado en la última semana ✌🏻🇪🇸 Cada vez más españoles quieren formar parte de la #EspañaViva</t>
  </si>
  <si>
    <t>https://twitter.com/voxnoticias_es/status/1071071108575698944
https://www.mediterraneodigital.com/espana/mundo/increible-se-colapsa-el-sistema-de-afiliacion-de-vox-tras-la-avalancha-de-peticiones.html</t>
  </si>
  <si>
    <t>Atitelovoyadecir</t>
  </si>
  <si>
    <t>Cómo?? Que mi suegra más socialista que el Guerra en las próximas elecciones piensa votar a Vox?? Que mi mujer que no vota nunca porque dice que todos los políticos son igual de chorizos, también?? Señores saluden al futuro e indiscutible presidente del país @Santi_ABASCAL</t>
  </si>
  <si>
    <t>Jlmsol</t>
  </si>
  <si>
    <t>Hola @vox_es y @Santi_ABASCAL , estoy en el tren, y no dejo mis cosas solas no vaya a ser que un extranjero me las robe, porque de un español si me fío más.</t>
  </si>
  <si>
    <t>Jaén(Andalucía)</t>
  </si>
  <si>
    <t>29-08-13...Cada día contigo hace que cuente. Gracias por estar ahí siempre Sonia . // Fútbol Club Barcelona #EternoCapitán</t>
  </si>
  <si>
    <t>MimiRose</t>
  </si>
  <si>
    <t>Ojalá la canción de la sueca sea para Santi Abascal #OTDirecto7DIC</t>
  </si>
  <si>
    <t>Bronson,Missouri.</t>
  </si>
  <si>
    <t>Orestes sabe adónde va,mientras que Hamlet divaga perdido entre dudas.</t>
  </si>
  <si>
    <t>ACUERDATE A LA HORA DE VOTAR!!! 💪🇪🇸 @santi_abascal @ivanedlm javierortegasmith @RocioMonasterio #voxavanza</t>
  </si>
  <si>
    <t>https://www.instagram.com/p/BrF8LJ6l4xs/?utm_source=ig_twitter_share&amp;igshid=1407a5cjiaeg5</t>
  </si>
  <si>
    <t>España tiene un pueblo valiente y decidido a defender la constitución y las instituciones democráticas contra los traidores PSOE, los mercenarios comunistas Podemos financiados por el narco dictador asesino y ladrón Maduro y los golpistas malversadores catalanes @Santi_ABASCAL</t>
  </si>
  <si>
    <t>INDIOSINGRACIA</t>
  </si>
  <si>
    <t>La extrema izquierda perdiento el tiempo en montajes en vez de trabajar... @vox_es @Santi_ABASCAL</t>
  </si>
  <si>
    <t>https://pbs.twimg.com/media/Dt08ozPXQAEn5S2.jpg</t>
  </si>
  <si>
    <t>Como nada es mas hermoso que conocer la verdad, nada es mas vergonzoso que aprobar la mentira y tomarla por verdad</t>
  </si>
  <si>
    <t>Con la fuerza de la constitución de 1978 España derrotó a los terroristas ETA. Con la fuerza de la verdad y la ley serán derrotados los golpistas catalanes y los comunistas mercenarios de Podemos financiados por el narco dictador asesino y ladrón Nicolás Maduro. @Santi_ABASCAL</t>
  </si>
  <si>
    <t>https://pbs.twimg.com/media/Dt08io7UUAAzHw7.jpg</t>
  </si>
  <si>
    <t>Gracias al poder de la constitución española de 1978 se pudo derrotar el terrorismo de ETA. Con esa fuerza de la ley y la verdad serán derrotados los enemigos de la democracia y de la nación. @FJL_EsRadio @Ortega_Smith @Santi_ABASCAL @monasterioR VIVA VOX VOTO VOX</t>
  </si>
  <si>
    <t>https://pbs.twimg.com/media/Dt08D49VYAAEdVq.jpg</t>
  </si>
  <si>
    <t>Los de la carta, están hoy con PSOE, Podemos y golpistas en el Gobierno de España. Pero el fascista peligroso es Vox-Abascal. @Santi_ABASCAL @vox_es @pablocasado_ @CiudadanosCs @Albert_Rivera</t>
  </si>
  <si>
    <t>https://pbs.twimg.com/media/Dt07aI0XgAAzlIn.jpg</t>
  </si>
  <si>
    <t>COPE</t>
  </si>
  <si>
    <t>“¡Vais a morir!”: el día que @Santi_Abascal fue escupido y golpeado por batasunos, entre los vídeos más vistos</t>
  </si>
  <si>
    <t>http://ww.cope.es/t607i2</t>
  </si>
  <si>
    <t>Está pasando, estás en COPE 📻 Toda la información 💻, el mejor equipo de la radio deportiva🏅, el mejor entretenimiento y podcast 🎙️</t>
  </si>
  <si>
    <t>http://www.cope.es</t>
  </si>
  <si>
    <t>vikingo</t>
  </si>
  <si>
    <t>El podemita Echenique compara a Santi Abascal con 'Torrente' y las redes...  vía @YouTube</t>
  </si>
  <si>
    <t>https://youtu.be/qyuco7yKy8k</t>
  </si>
  <si>
    <t>Torremolinos, España</t>
  </si>
  <si>
    <t>http://page.is/larevuelo53</t>
  </si>
  <si>
    <t>Sergio González</t>
  </si>
  <si>
    <t>Por si os venden la foto de @Santi_ABASCAL besando la tumba de Franco, esta es la real y de donde sacaron el fake. RT @Miotroyo2parte: @danierdecai35 Claro que sí, campeón. Seguid dándole votos a @vox_es, que lo estáis haciendo de Puta madre.</t>
  </si>
  <si>
    <t>https://twitter.com/miotroyo2parte/status/1070995073050050560</t>
  </si>
  <si>
    <t>https://pbs.twimg.com/media/DtzwVbqX4AAJs-k.jpg</t>
  </si>
  <si>
    <t>Ingeniero civil, curioso, algo no encaja en toda la composición universal.</t>
  </si>
  <si>
    <t>KaMiKaZe.....</t>
  </si>
  <si>
    <t>Mira @pnique escucha a tu amo, el esta a favor de portar armas. y eso que nunca tubo amenazas de muerte como si tubo @Santi_ABASCAL . RT @rouco64: 🔴🔴 El derecho a portar armas es una de las bases de la democracia. DIXIT Pablo Iglesias🔻🔻</t>
  </si>
  <si>
    <t>https://twitter.com/rouco64/status/1071032276908150784</t>
  </si>
  <si>
    <t>pic.twitter.com/JNOIm4oxA8</t>
  </si>
  <si>
    <t>Andalucía, España</t>
  </si>
  <si>
    <t>⚔️Siembra un acto y cosecharás un hábito. Siembra un Hábito y cosecharás un carácter. Siembra un carácter y cosecharás un destino.🇺🇾&amp;🇪🇸⚔️</t>
  </si>
  <si>
    <t>Fernando de Andugar</t>
  </si>
  <si>
    <t>El programa de #extremanecesidad de #vox_es #Santi_ABASCAL</t>
  </si>
  <si>
    <t>https://pbs.twimg.com/media/Dt057h6XgAIC_Hp.jpg</t>
  </si>
  <si>
    <t>España   🇪🇸</t>
  </si>
  <si>
    <t>Y yo había dicho: «¡Vive!» 🇪🇺🇪🇸 Es decir: ama y besa, escucha, mira,toca,embriágate y sueña...</t>
  </si>
  <si>
    <t>Según se dé el cambio en #Andalucia así se consolidarán @PPopular @CiudadanosCs y vox_es #Santi_ABASCAL #extremanecesidad. #MovimientoCiudadano #Constitucion40 #ConstitucionEspanola #ConstitucionEspañola #Constitucion</t>
  </si>
  <si>
    <t>SΔΠCHΔ Ψ</t>
  </si>
  <si>
    <t>Bien podrían ser unas páginas de Mein Kampf Pablo, el infierno mismo, por @Santi_ABASCAL  vía @libertaddigital</t>
  </si>
  <si>
    <t>Oswego, NY</t>
  </si>
  <si>
    <t>kekoo</t>
  </si>
  <si>
    <t>- En Vox son gente normal y a Santi Abascal le gusta la hornitología y la montaña. Bájate aquí, niño.</t>
  </si>
  <si>
    <t>https://pbs.twimg.com/media/Dt03mfpW0AAKF_R.jpg</t>
  </si>
  <si>
    <t>LOBO</t>
  </si>
  <si>
    <t>Joven en Lleida denuncia abuso sexual ,pero los medios TAPAN que la chica dice que , ''por su color de piel, NO era de nacionalidad Española''  @Santi_ABASCAL @vox_es @voxnoticias_es @Ortega_Smith</t>
  </si>
  <si>
    <t>https://elpais.com/sociedad/2018/12/07/actualidad/1544176555_814543.html</t>
  </si>
  <si>
    <t>Toledo</t>
  </si>
  <si>
    <t>Uno aprende a ser feliz cuando se da cuenta que estar triste es perder el tiempo</t>
  </si>
  <si>
    <t>Pensarlo muy bien lo que dice el sabio Anguita.💪🇪🇸 FUERZA Y CORAJE. @santi_abascal @RocioMonasterio @vox_es madrid.vox #EspañaViva</t>
  </si>
  <si>
    <t>https://www.instagram.com/p/BrFzI59F0q0/?utm_source=ig_twitter_share&amp;igshid=1kruyeo0bp4md</t>
  </si>
  <si>
    <t>david</t>
  </si>
  <si>
    <t>La España viva despertando...viva España!!!! @vox_es @Santi_ABASCAL El sistema de afiliaciones de VOX se colapsa ante la avalancha de peticiones  vía @expansioncom</t>
  </si>
  <si>
    <t>http://www.expansion.com/economia/politica/2018/12/07/5c0a9132ca4741ab368b4604.html</t>
  </si>
  <si>
    <t>Español, cada día más. Equiparación Ya, Elecciones Ya🇪🇸🇪🇸🇪🇸🇪🇸🇪🇸🇪🇸🇪🇸🇪🇸</t>
  </si>
  <si>
    <t>Lucia</t>
  </si>
  <si>
    <t>Un gran error de Feijóo. Las urnas lo dirán @FuensantaLM @Santi_Abascal @libertaddigital RT @Santi_ABASCAL: Eso mismo dijo Susana Díaz de Andalucía. 😂😂</t>
  </si>
  <si>
    <t>Con lo que está pasando y, teniendo en cuenta lo que ha dicho la ministra Delgado, me parece que soy de extrema, extrema, extrema, súper extrema derecha😊</t>
  </si>
  <si>
    <t>David Navarro Martínez</t>
  </si>
  <si>
    <t>Un duelo al amanecer entre Santi Abascal y Julio Anguita.</t>
  </si>
  <si>
    <t>Valladolid, España</t>
  </si>
  <si>
    <t>Me pasé del periodismo a la literatura porque me di cuenta de que la ficción habla más sobre la realidad que las noticias. Escribo en The Conversation.</t>
  </si>
  <si>
    <t>https://theconversation.com/profiles/david-navarro-martinez-554157</t>
  </si>
  <si>
    <t>karl Marx</t>
  </si>
  <si>
    <t>Amigo @pnique no sé si quieres rectificar públicamente tu comentario sobre @Santi_ABASCAL y el hecho de portar armas porque estaba amezado por ETA; él y su padre. Tu amigo Pabla ¿también estaba amenazado? Ah no, qu él amenazaba en la Complutense, le llamaba “jarabe ...” ummm RT @libertaddigital: El derecho a portar armas es una de las bases de la democracia excepto si las porta alguien de VOX y además a caballo, que entonces dónde vamos a llegar en pleno 2018.</t>
  </si>
  <si>
    <t>https://twitter.com/libertaddigital/status/1071059601355927552</t>
  </si>
  <si>
    <t>pic.twitter.com/ylAs9vnvTB</t>
  </si>
  <si>
    <t>He tenido que volver, porque veo que se está desvirtuando mi pensamiento. Reivindico el verdadero comunismo. ¿Alguien se ha leído El Capital? Me salió largo.</t>
  </si>
  <si>
    <t>Maturum 🇪🇸</t>
  </si>
  <si>
    <t>¿Tele 5 ha eliminado el vídeo de la entrevista de AR con @Santi_ABASCAL ?😕</t>
  </si>
  <si>
    <t>https://pbs.twimg.com/media/Dt0zAf8WoAEZwFc.jpg</t>
  </si>
  <si>
    <t>Santa Cruz de Tenerife</t>
  </si>
  <si>
    <t>Músico y fotógrafo aficionado. Español, hetero, blanco y liberal-conservador. Lo sé; ¡estoy jodido!.</t>
  </si>
  <si>
    <t>http://www.flickr.com/photos/maduroman/</t>
  </si>
  <si>
    <t>Este es @Santi_ABASCAL que describe a la perfección a @Pablo_Iglesias_ tengo claro que no habrá respuesta por parte de los podemitas RT @hermanntertsch: Vidas muy distintas las del líder de VOX y el Marqués de la Navata. Aquí se lo recuerda Abascal a Iglesias. Abascal se dirige a Iglesias.</t>
  </si>
  <si>
    <t>https://twitter.com/hermanntertsch/status/1071042034797035520</t>
  </si>
  <si>
    <t>https://pbs.twimg.com/media/Dt0bCMwWoAAXK7G.jpg</t>
  </si>
  <si>
    <t>🇵🇱🐲 TIRANUS</t>
  </si>
  <si>
    <t>No sé xq decís que el partido de Santi Abascal es racista, aquí vemos a Finidi George con un sombrero cordoVOX</t>
  </si>
  <si>
    <t>https://pbs.twimg.com/media/Dt0x7pDXgAAzfCj.jpg</t>
  </si>
  <si>
    <t>La Gozadera</t>
  </si>
  <si>
    <t>Forza Sevilla campeón!!! #SomosBiris</t>
  </si>
  <si>
    <t>Andrés Mtz Ferrando</t>
  </si>
  <si>
    <t>1a agresión en Murcia a militantes de @vox_es en el municipio de Lorca después de las elecciones andaluzas #ContraELOdioDemocracia #EspañaViva @Santi_ABASCAL</t>
  </si>
  <si>
    <t>https://www.laverdad.es/murcia/miembros-denuncian-haber-20181207005415-ntvo.html</t>
  </si>
  <si>
    <t>Murcia / Valencia / España</t>
  </si>
  <si>
    <t>Avec l'amour de ma vie...️ ❤ Demócrata-Liberal Español y Murciano. ~Cafd~❤💛❤💚💚</t>
  </si>
  <si>
    <t>Payaso Con Tituló 📜📄</t>
  </si>
  <si>
    <t>Así que @vox_es es el gran ganador de las #EleccionesAndaluzas y próximamente @Santi_ABASCAL de las #EleccionesGeneralesYa con sus títulos de #ExtremaDerecha #UltraDerecha #Facha otorgados por el #FrentePooular pidiendo el exterminio de #VOX Mientras en @psoedeandalucia 🔥🗄️🔥</t>
  </si>
  <si>
    <t>https://pbs.twimg.com/media/Dt0w1kVX4AAGBHP.jpg</t>
  </si>
  <si>
    <t>Circo de la vida Heaven &amp; Hell</t>
  </si>
  <si>
    <t>Me lo saqué con Franco como Gurruchaga Viaje 🛴🚲con nosotros si quiere gozar y disfrute #TituloCumFraude #GibraltarBienGracias</t>
  </si>
  <si>
    <t>El palo de VOX en Andalucia ha sido de tal magnitud que el partido ramera del PSOE y sus concubinos de Podemos, golpistas y terroristas ETA aún están cagando agua por toneladas. Y lo que falta. Viva VOX @monasterioR @Santi_ABASCAL @FJL_EsRadio @Ortega_Smith VOX viva VOX</t>
  </si>
  <si>
    <t>PODEVOX🥃🚬</t>
  </si>
  <si>
    <t>Somos él producto de una noche de sexo (y excesos) entre @Pablo_Iglesias_ y @Santi_ABASCAL #PODEVOX</t>
  </si>
  <si>
    <t>https://pbs.twimg.com/media/Dt0wWfjW0AAUjS6.jpg</t>
  </si>
  <si>
    <t>La Moncloa</t>
  </si>
  <si>
    <t>⬇️ Puestos a decir mentiras, mezclemos verdades. ⬇️</t>
  </si>
  <si>
    <t>Trajano</t>
  </si>
  <si>
    <t>Hoy están todos los @podemitas y los @separatistas alteradísimos por una fotografía de @Santi_ABASCAL besando la tumba de Franco que está corriendo como la pólvora por las redes. Es un fake como una casa, pero eso para ellos es lo de menos.</t>
  </si>
  <si>
    <t>fuideizquierdas</t>
  </si>
  <si>
    <t>Los pacíficos demócratas alentados por su líder @Pablo_Iglesias_ ejerciendo su derecho a manifestarse. Vergüenza! Como bien dijo @Santi_ABASCAL solo hay un responsable. No somos tontos aunque lo penséis, las urnas os esperan @ahorapodemos RT @okdiario: ▶️ #VÍDEO El terror de una vecina desde el balcón de su casa en Tarrasa ante la violencia de los CDR</t>
  </si>
  <si>
    <t>https://twitter.com/okdiario/status/1071056738076418048</t>
  </si>
  <si>
    <t>pic.twitter.com/gzSuuUTkcD</t>
  </si>
  <si>
    <t>fui de izquierdas mientras vi la tv, dejé de serlo cuando dejé de verla.</t>
  </si>
  <si>
    <t>Haba.Tar🇪🇸</t>
  </si>
  <si>
    <t>El Español humanizado a @Santi_ABASCAL!!!😱😱😱😱😱😱 RT @elespanolcom: El bulo sobre Santiago Abascal con el que muchos han picado</t>
  </si>
  <si>
    <t>https://twitter.com/elespanolcom/status/1071061771627188228
https://www.elespanol.com/social/20181207/bulo-santiago-abascal-confirma-espana-fakes-cutres/358964679_0.html</t>
  </si>
  <si>
    <t>Español ojiplático con lo que ocurre en mi país y en el resto de mi planeta...</t>
  </si>
  <si>
    <t>Los que pactaron con golpistas criminales y con los terroristas ETA y con los comunistas mercenarios de Podemos financiados por el narco dictador asesino y ladrón Nicolás Maduro no tienen moral alguna. VIVA VOX. @FJL_EsRadio @Ortega_Smith @Santi_ABASCAL @monasterioR VIVA VOX RT @libertaddigital: Mitin contra VOX de Celaá desde Moncloa: da instrucciones a PP y Cs para que no pacten con ellos</t>
  </si>
  <si>
    <t>https://twitter.com/libertaddigital/status/1071022766067933189
http://dlvr.it/Qt3bCw</t>
  </si>
  <si>
    <t>Cris</t>
  </si>
  <si>
    <t>Esto creo que es una obra de arte @Santi_ABASCAL 😂😂😂😂😂😂</t>
  </si>
  <si>
    <t>https://youtu.be/UUfCibJd6oM</t>
  </si>
  <si>
    <t>Úbeda, Andalucía</t>
  </si>
  <si>
    <t>A mi no me mires nena, yo vote a Kodos.</t>
  </si>
  <si>
    <t>KEMASDA</t>
  </si>
  <si>
    <t>BARCELONA</t>
  </si>
  <si>
    <t>vivir la vida y que la vida me deje vivir</t>
  </si>
  <si>
    <t>ESTOS GUERRA CIVILISTAS, DISPUESTOS A TODO ANTES QUE ABANDONAR EL PODER Mitin de Celaá contra VOX desde Moncloa: da instrucciones a PP y Cs para que no pacten con ellos- Libertad Digital | Versión Móvil (mobile)  @Santi_ABASCAL @CasaReal @GeneralDavila</t>
  </si>
  <si>
    <t>https://www.libertaddigital.com/espana/2018-12-07/mitin-contra-vox-de-celaa-desde-moncloa-da-instrucciones-a-pp-y-cs-para-que-no-pacten-con-ellos-1276629533/</t>
  </si>
  <si>
    <t>guido</t>
  </si>
  <si>
    <t>Que alguien se lo pase @sanchezcastejon por que para el #Cuba es un paraíso socialista tal vez @Santi_ABASCAL le pueda refrescar la memoria RT @OEA_oficial: EN VIVO🔴| Conferencia sobre la situación de los derechos humanos en #Cuba con diálogos sobre la criminalización de la libertad de expresión en el país, la situación de los presos políticos y la responsabilidad de los opresores</t>
  </si>
  <si>
    <t>https://twitter.com/oea_oficial/status/1071057009544441857
https://bit.ly/2gdhffC</t>
  </si>
  <si>
    <t>https://pbs.twimg.com/media/Dt0oki6XQAAKRAf.jpg</t>
  </si>
  <si>
    <t>Al Este del Okavango</t>
  </si>
  <si>
    <t>abogado, amante del café, interesado en temas de economía, derecho, política internacional y fotógrafo por pasión</t>
  </si>
  <si>
    <t>Javier Cuevas</t>
  </si>
  <si>
    <t>El defraudador de la Seguridad Social, criticando el pasado de @Santi_ABASCAL desde su pisazo en el Barrio de Salamanca. Entiendo que hable de odio, de eso Echenique sabe mucho. RT @pnique: Abascal lleva 20 años chupando del bote y la corrupta Esperanza Aguirre le pagaba 80.000€ al año por vivir del cuento. Por eso quiere que odies a las feministas, a los inmigrantes y a los catalanes. Para que se te olvide que es Gürtel PP pata negra.</t>
  </si>
  <si>
    <t>https://twitter.com/pnique/status/1070397696849133568
https://maldita.es/malditodato/cuando-abascal-cobraba-mas-que-el-presidente-del-gobierno-por-cargos-a-dedo-pagados-con-dinero-publico/</t>
  </si>
  <si>
    <t>Móstoles, España</t>
  </si>
  <si>
    <t>Abogado de vocación y programador por accidente. Políticamente incorrecto. Español sin complejos y orgulloso mostoleño.</t>
  </si>
  <si>
    <t>https://www.linkedin.com/in/javiercuevasfdez</t>
  </si>
  <si>
    <t>Miguel</t>
  </si>
  <si>
    <t>Un imán? No, es @Santi_ABASCAL</t>
  </si>
  <si>
    <t>https://pbs.twimg.com/media/Dt0qQClWsAAp1RE.jpg</t>
  </si>
  <si>
    <t>París, Francia</t>
  </si>
  <si>
    <t>Ingeniero, licenciado en Periodismo, Máster y Doctor en Investigación de Medios de Comunicación. Aquí, polifacético</t>
  </si>
  <si>
    <t>Ramon Castro</t>
  </si>
  <si>
    <t>http://dlvr.it/Qt46yM</t>
  </si>
  <si>
    <t>Decimo Octavo Universo</t>
  </si>
  <si>
    <t>Soy Fanatico de la Vinotinto a morir ♥ Fanático por siempre de Michelle Jordán. Me gusta mucho el futbol Mmm #SiguemeYteSigo ;) #FollowBack</t>
  </si>
  <si>
    <t>Patrick Ortega</t>
  </si>
  <si>
    <t>http://dlvr.it/Qt46xV</t>
  </si>
  <si>
    <t>Nazionalbarcelonismo</t>
  </si>
  <si>
    <t>Pregunta a tu amigo el terrorista @ArnaldoOtegi , él los conoce bien, que tuvieron a Ortega Lara secuestrado más de 500 días y a la familia de @Santi_ABASCAL extorsionada y amenazada. @vox_es RT @jordievole: No querían que fuésemos Pero ya estábamos dentro. Domingo por 1a vez en Salvados Hablamos d ellos "Conociendo a VOX"</t>
  </si>
  <si>
    <t>https://okdiario.com/espana/2018/12/07/iglesias-da-razon-abascal-derecho-portar-armas-bases-democracia-3438627?utm_campaign=ok&amp;utm_medium=Social&amp;utm_source=Twitter#Echobox=1544187698</t>
  </si>
  <si>
    <t>JOSE MANUEL DIEGUEZ</t>
  </si>
  <si>
    <t>La desesperación y la manipulación de las hordas podemitas y de la extrema izquierda llega a montajes tan burdos como estos. Intentan etiquetar a @Santi_ABASCAL y los votantes de @vox_es como nostálgicos del franquismo. Seguid así con vuestras mentiras,obedeced @Pablo_Iglesias_</t>
  </si>
  <si>
    <t>https://pbs.twimg.com/media/Dt0pLl8XQAABysq.jpg</t>
  </si>
  <si>
    <t>“Los idéales son pacíficos, la historía es violenta” Licenciado en Teología y Filosofía.</t>
  </si>
  <si>
    <t>Sonia</t>
  </si>
  <si>
    <t>Verdades como puños!! Pablo, el infierno mismo, por @Santi_ABASCAL  vía @libertaddigital</t>
  </si>
  <si>
    <t>Letrada. fuerte lo que tenemos en Madrid! Pacto de Perdedores con una 🐀 en el ayuntamiento. 🤮🤮👎</t>
  </si>
  <si>
    <t>Alfonso Rojo López</t>
  </si>
  <si>
    <t>Director de Periodista Digital. Cuenta Oficial</t>
  </si>
  <si>
    <t>Sor Prendida 🇪🇸</t>
  </si>
  <si>
    <t>Abran bien los ojos y miren esto. Ocurrió hace 15 años en Llodio. Hay un joven concejal de PP que les sonará bastante. Y quizá comprendan mejor al hombre que es hoy y lo mucho que tiene que ofrecer a España. @Santi_ABASCAL @vox_es</t>
  </si>
  <si>
    <t>https://youtu.be/S8_g6JS2z24</t>
  </si>
  <si>
    <t>Meseta. Spain</t>
  </si>
  <si>
    <t>Más sorprendida que Sor. De origen vizcaíno, burgalés y cántabro. Amo y defiendo a España 🇪🇸 y a Portugal 🇵🇹.</t>
  </si>
  <si>
    <t>En la época #PostPSOE nosotros, gobierne quien gobierne, proponemos las siguientes medidas para el progreso de Andalucía. La destrucción de la red clientelar tiene que ser PROFUNDA @JuanMarin_Cs @JuanMa_Moreno @Santi_ABASCAL @pablocasado_ @Albert_Rivera</t>
  </si>
  <si>
    <t>pic.twitter.com/xlLbDpoF8M</t>
  </si>
  <si>
    <t>discrepante</t>
  </si>
  <si>
    <t>Perroflauta promedio amenazando a la gente de @vox_es @Santi_ABASCAL RT @Kovskayax: Radical sería meterles una bala entre ceja y ceja, que tampoco estaría mal.</t>
  </si>
  <si>
    <t>https://twitter.com/Kovskayax/status/1071043929896828928</t>
  </si>
  <si>
    <t>Discrepo por naturaleza.</t>
  </si>
  <si>
    <t>Fernando Jerez</t>
  </si>
  <si>
    <t>Completo reportaje de @EiderHurtado @euskaltelebista para conocer mejor de donde viene un personaje como @Santi_ABASCAL, y los orígenes de @vox_es.  Mis conclusiones: además de un peligro, son un fraude absoluto para sus votantes.</t>
  </si>
  <si>
    <t>https://www.eitb.tv/es/video/360/5937/150812/vox--la-ambicion-de-santiago-abascal/</t>
  </si>
  <si>
    <t>Burgos / Ciudad Rodrigo</t>
  </si>
  <si>
    <t>📚📲 #SocialMedia Librarian! #BiblioRíoVena @APBiblioBurgos | Información ➡ Bibliotecarios ➡ Ciudadanía ➡ Conocimiento ➡️ Soberanía y desarrollo personal y social</t>
  </si>
  <si>
    <t>https://fjerezsocialmedia.com/</t>
  </si>
  <si>
    <t>http://bit.ly/2UthYwv</t>
  </si>
  <si>
    <t>Isaacj 9000</t>
  </si>
  <si>
    <t>Tuiteo noticias contra la desinformación y opino con ironía sobre política, tecnología, cine, series, música, videojuegos, anime y animales. «RT ≠ Aprobación»</t>
  </si>
  <si>
    <t>https://disidentes.online</t>
  </si>
  <si>
    <t>https://pbs.twimg.com/media/Dt0jRbtXQAEuLuA.png</t>
  </si>
  <si>
    <t>Andrés Suárez</t>
  </si>
  <si>
    <t>Por mucho que le repatee a @Santi_ABASCAL, el matrimonio es un contrato civil (a veces con perfil religioso) entre dos cónyuges, que genera derechos y obligaciones, y para ello es indiferente el sexo de los cónyuges, y por supuesto, es indiferente el nombre. Así que menos marear.</t>
  </si>
  <si>
    <t>Asturies y Madrid</t>
  </si>
  <si>
    <t>👨🏻‍💻 Politólogo y jurista. Interesado en asuntos laborales.</t>
  </si>
  <si>
    <t>https://es.linkedin.com/in/andr%25C3%25A9s-su%25C3%25A1rez-boto-01768847</t>
  </si>
  <si>
    <t>oscar jugon</t>
  </si>
  <si>
    <t>Jajajaja buenísimo... @Santi_ABASCAL que te ha salido un defensor inesperado jajaja RT @okdiario: Maldita hemeroteca 😏 @Pablo_Iglesias_ da la razón a @Santi_ABASCAL: “El derecho a portar armas es una de las bases de la democracia” Por @Gonzagads92 👇</t>
  </si>
  <si>
    <t>http://oscarjugon.blogspot.com/</t>
  </si>
  <si>
    <t>MOAI SOLDIER</t>
  </si>
  <si>
    <t>Oye, @sanchezcastejon @Pablo_Iglesias_ @pablocasado_ @Albert_Rivera @Santi_ABASCAL , cuando terminéis este teatrillo podríais hacernos el favor de solucionar nuestros problemas ?, De nada, es q a veces se os olvida para q os pagamos.</t>
  </si>
  <si>
    <t>Music Producer</t>
  </si>
  <si>
    <t>abianmed18</t>
  </si>
  <si>
    <t>Soy canarion y alicantino, soy bisexual y votaré a @vox_es @Santi_ABASCAL y sabes por qué? Porque estoy arto de las mentiras de la izquierda,quieren romper España y hacer enfrentar a los españoles. Por ello seguiré defendiendo a mi país. #VivaEspana 🇪🇸</t>
  </si>
  <si>
    <t>🇪🇸Canarion-Alicantino🇮🇨 Mi mayor rival es ser yo mismo.</t>
  </si>
  <si>
    <t>Doctor Okupa</t>
  </si>
  <si>
    <t>Hola @BertinOsborne, ¿veremos a @Santi_ABASCAL en @micasaeslatuya?</t>
  </si>
  <si>
    <t>Falcón, Venezuela</t>
  </si>
  <si>
    <t>Presidente Okupa del Gobierno. Feminista y con Ministros maricones. Me gusta volar en avión a conciertos y en helicóptero a bodas de cuñados. A veces plagio.</t>
  </si>
  <si>
    <t>@Santi_ABASCAL de joven, en los tiempos más oscuros.</t>
  </si>
  <si>
    <t>https://youtu.be/Nr8xaEfA7PE</t>
  </si>
  <si>
    <t>TOTBALEARS.COM</t>
  </si>
  <si>
    <t>El sistema de afiliación de @vox_es se colapsa tras superar los 20.000 #afiliados  @ActuaBaleares @voxnoticias_es @jcamposasensi @MMContesti @Santi_ABASCAL</t>
  </si>
  <si>
    <t>https://totbalears.com/el-sistema-de-afiliacion-de-vox-se-colapsa-tras-superar-los-20-000-afiliados/</t>
  </si>
  <si>
    <t>https://pbs.twimg.com/media/Dt0fBbKX4AA-JbF.png</t>
  </si>
  <si>
    <t>Palma, España</t>
  </si>
  <si>
    <t>Medios de información digital🖥️</t>
  </si>
  <si>
    <t>https://totbalears.com</t>
  </si>
  <si>
    <t>Juan García 🇪🇸🇪🇺</t>
  </si>
  <si>
    <t>Aquí tenéis mi apoyo en la defensa de que defendáis vuestras ideas sin intimidación ni violencia que quepa,siempre que esas ideas estén dentro del marco constitucional y cuyo recorrido sean de la Ley a la Ley, y como siga la tontería os voto para la próxima @vox_es @Santi_ABASCAL</t>
  </si>
  <si>
    <t>Sevilla (España)</t>
  </si>
  <si>
    <t>---Personal Twitter--- Not Disturb. RT ≠ endorsement. Señoro. Bestia y con bache en el ADN. Blas de Lezo y 10 más. NO al lazismo. #teamfacha</t>
  </si>
  <si>
    <t>piratakojo☢</t>
  </si>
  <si>
    <t>#SomosLaAudiencia7D VAMOS A PREGUNTARLE A.. @Santi_ABASCAL A QUIEN QUIERE QUE EXPULSEN.. SANTIAGUIN A KIEN EXPULSAMOS? AL MORO! AL MORO! AL MORO! 😂😂😂😂😂😂😂😂😂😂😂😂😂😂😂😂😂😎</t>
  </si>
  <si>
    <t>pic.twitter.com/UIdTtDmwTK</t>
  </si>
  <si>
    <t>ANDALEEEE !! HUEVOOOONN !!</t>
  </si>
  <si>
    <t>FUERZA Y CORAJE 💪🇪🇸 @santi_abascal @RocioMonasterio @ivanedlm #voxavanza</t>
  </si>
  <si>
    <t>https://www.instagram.com/p/BrFs3FfAN_1/?utm_source=ig_twitter_share&amp;igshid=7ofeltsgurhr</t>
  </si>
  <si>
    <t>fernando maguregui</t>
  </si>
  <si>
    <t>que NO que @Santi_ABASCAL no es de extrema derecha que no que besa la tumba del traidor GOLPISTA del 36 FRANCO porque es un fascista golpista como FRANCO es como vosotr@s pero diciendo la verdad de lo que piensa @Albert_Rlvera @InesArrimadas @pablocasado_ tod@s vosotr@s FASCISTAS RT @danierdecai35: Santi Abascal susurrándole a Franco que él no es de extrema derecha.</t>
  </si>
  <si>
    <t>jubilado que quiere conocer twitter</t>
  </si>
  <si>
    <t>J.d Carlos Barchello.  ❤💛❤</t>
  </si>
  <si>
    <t>Por favor, no te pierdas una carta que ha escrito una Sra. Paloma Bellas Farré que circula por las redes sociales dando las gracias a @Santi_ABASCAL @vox_es No tiene desperdicio. ❤💛❤</t>
  </si>
  <si>
    <t>Islas Baleares</t>
  </si>
  <si>
    <t>Graduado en Derecho. Empleado Air UX Reservista Voluntario Armada Española. Voluntario Fundación Seur. Luchador de las injusticias políticas y sociales. 13🏆</t>
  </si>
  <si>
    <t>ペドロ・サンツ</t>
  </si>
  <si>
    <t>Mientras Barcelona y Madrid avanzan como ciudades de la mano de @AdaColau y @ManuelaCarmena, España retrocede de la mano de retrógrados fascistas como @Santi_ABASCAL y @pablocasado_</t>
  </si>
  <si>
    <t>Ciudad Iris</t>
  </si>
  <si>
    <t>Bitch I’m coffee</t>
  </si>
  <si>
    <t>https://www.instagram.com/charing_x</t>
  </si>
  <si>
    <t>.@Pablo_Iglesias_ da la razón a @Santi_ABASCAL: “El derecho a portar armas es una de las bases de la democracia”</t>
  </si>
  <si>
    <t>https://okdiario.com/espana/2018/12/07/iglesias-da-razon-abascal-derecho-portar-armas-bases-democracia-3438627?utm_campaign=inda&amp;utm_medium=Social&amp;utm_source=Twitter#Echobox=1544187530</t>
  </si>
  <si>
    <t>Jota</t>
  </si>
  <si>
    <t>Y eso que??? @vox_es @Santi_ABASCAL jajajajaja!!! Qué se lo pongan en directo. Pago por ver su cara. RT @okdiario: Maldita hemeroteca 😏 @Pablo_Iglesias_ da la razón a @Santi_ABASCAL: “El derecho a portar armas es una de las bases de la democracia” Por @Gonzagads92 👇</t>
  </si>
  <si>
    <t>Radio: Hay Que Reparar España, Vox, Vox, Vox!!!</t>
  </si>
  <si>
    <t>Patente De Paciencia</t>
  </si>
  <si>
    <t>Ni siquiera se han molestado en ponerle la sombra, al igual que la tienen las flores, al montaje que han hecho con @Santi_ABASCAL , dan por sentado el nivel de quienes la utilizarán para escupir imbecilidades</t>
  </si>
  <si>
    <t>https://pbs.twimg.com/media/Dt0cEslW0AADQ6N.jpg</t>
  </si>
  <si>
    <t>Cristiana, agradecida a Dios por darme una hermosa familia... pro-vida. Eis qui sine peccato est vestrum primus in illan lapiden mittat.</t>
  </si>
  <si>
    <t>Agustín de Zayas</t>
  </si>
  <si>
    <t>Izquierdas y derechas, @Santi_ABASCAL estáis en el origen del enfrentamiento. No basta invocar los valores patrios, hay que preocuparse y ocuparse de los españoles más necesitados para que no se acuesten con la izquierda.  RT @Santi_ABASCAL: Por eso estos representan a la España muerta</t>
  </si>
  <si>
    <t>https://es.wikiquote.org/wiki/Jos%C3%A9_Antonio_Primo_de_Rivera
https://twitter.com/Santi_ABASCAL/status/1071002328583626759
https://eldebate.es/politica-de-estado/las-4-menciones-a-espana-que-podemos-borro-del-discurso-de-pablo-iglesias-tras-el-2-d-20181207</t>
  </si>
  <si>
    <t>Joseantoniano, por católico. No hay una mejor exégesis sociopolítica desde el cristianismo, que la suya. Que derechas e izquierdas se equivocan, comprobado.</t>
  </si>
  <si>
    <t>J0RD1 H473R0🎗</t>
  </si>
  <si>
    <t>Me apuesto lo que quieras a que @Santi_ABASCAL tiene MUCHO QUE VER con este asesinato. O él o uno de sus secuaces. Fernando Lumbreras, tu muerte no quedará impune. Con o sin justicia oficial, colgaremos a tu asesino en una plaza pública como a Mussolini. RT @OCL_H: Absolutament necessari investigació @policia per el brutal assassinat de Fernando Lumbreras ex President @lambdavalencia . Cal saber que a passat.</t>
  </si>
  <si>
    <t>https://twitter.com/OCL_H/status/1070955657594056704</t>
  </si>
  <si>
    <t>https://pbs.twimg.com/media/DtzMezGWkAAH-kB.jpg</t>
  </si>
  <si>
    <t>Terrassa, Catalunya</t>
  </si>
  <si>
    <t>PRO #RepúblicaCatalana Apparu dans #FirstDates645 📺Presento @CalaixDejazztre 📻I play 🎷on @BandaBandalona Ho un singolo intitolato 'WHILE YOU ARE SLEEPING'💿</t>
  </si>
  <si>
    <t>https://itunes.apple.com/album/deep-throat-ep/id981156615?l=en</t>
  </si>
  <si>
    <t>Juan F. Moreno</t>
  </si>
  <si>
    <t>Pues qué quieren que les diga, a mí @QuimTorraiPla y @Santi_ABASCAL me parecen formas muy similares de nacionalpopulismo. Y ahora, a esperar a las hordas.</t>
  </si>
  <si>
    <t>Madrid (Unión Europea)</t>
  </si>
  <si>
    <t>🔻 Amortizado. Nescit vox missa reverti.</t>
  </si>
  <si>
    <t>Mi Querida España +=+=</t>
  </si>
  <si>
    <t>A ver si os enteráis de quien es @Santi_ABASCAL y dejáis de engañar a la gente. #YaEsMediodía @yaesmediodiatv @sonsolesonega</t>
  </si>
  <si>
    <t>https://youtu.be/nYzuCr7FnyI</t>
  </si>
  <si>
    <t>¡Con El Rey, por España! Filántropo #TABARNIA @vox_es V.E.R.D.E. 🇪🇸 ¡Viva España!</t>
  </si>
  <si>
    <t>❌نIberian Wolfن❌</t>
  </si>
  <si>
    <t>GILIPOLLAS. Por cierto...quitate esa barbita de maricon , que te das un aire a todo un hombre como @Santi_ABASCAL RT @alto_policia: Madre mía... Que hostia a mano abierta tiene este anormal! 🖐🏻 ¿Alguien sabe de que agujero ha salido el gusano este? 🤣👮🏻</t>
  </si>
  <si>
    <t>https://twitter.com/alto_policia/status/1071039490607722496</t>
  </si>
  <si>
    <t>pic.twitter.com/3P8aBITKbh</t>
  </si>
  <si>
    <t>Alcobendas, España</t>
  </si>
  <si>
    <t>🇪🇸🇪🇸C.A.F.E. 🇪🇸🇪🇸 #VikingoMadrista #VigilanteDeSeguridad #AfiliadoVox... Si no te gusta mi País, lárgate. Respeta y te respeto.</t>
  </si>
  <si>
    <t>Amenazado de muerte por E.T.A.💪🇪🇸 fuerza y coraje Santiago. @santi_abascal @ivanedlm @RocioMonasterio javierortegasmith</t>
  </si>
  <si>
    <t>https://www.instagram.com/p/BrFqb91A-kG/?utm_source=ig_twitter_share&amp;igshid=1qakdghl5bcdg</t>
  </si>
  <si>
    <t>DESDE JOVEN YA PERSEGUIDO Y ATACADO POR DEFENDER ESPAÑA JOVEN VALIENTE.💪🇪🇸@santi_abascal @ivanedlm javierortegasmith</t>
  </si>
  <si>
    <t>https://www.instagram.com/p/BrFpx7sFuq2/?utm_source=ig_twitter_share&amp;igshid=131ojjs1gfvxn</t>
  </si>
  <si>
    <t>Angel Baena 🇪🇸</t>
  </si>
  <si>
    <t>El domingo el programa manipulacion del amigo de otegui tratará sobre @vox_es. Rodado con camara oculta xq no le dieron permiso para grabar. @Santi_ABASCAL esta tardando en pedir judicialmente que no se emita el programa y denunciar a LaSexta por los ataques que está recibiendo RT @DebatAlRojoVivo: 🔴Este domingo, @SalvadosTV se adentra en las entrañas de Vox. A partir de las 21:25 horas, en laSexta. Lo cuenta ahora @jordievole</t>
  </si>
  <si>
    <t>https://twitter.com/DebatAlRojoVivo/status/1071027162919112705
http://atres.red/4ncii6103</t>
  </si>
  <si>
    <t>https://pbs.twimg.com/media/Dt0Nh0fXcAA2fFy.jpg</t>
  </si>
  <si>
    <t>ME ENCANTA QUE LOS PLANES SALGAN BIEN 🤣</t>
  </si>
  <si>
    <t>Boquita Linda</t>
  </si>
  <si>
    <t>Cada uno se agarra a lo que puede y el pueblo andaluz se va a encontrar con un gobierno fascista... No sé a qué se podrán agarrar ellos cuando se encuentren con @Santi_ABASCAL ordenando sus vidas... Suerte con vuestros vecinos... Ea RT @olaladefua: Si no se computan las patatas fritas, la hamburguesa, la cocacola y el helado, hoy he comido ensalada.</t>
  </si>
  <si>
    <t>https://twitter.com/olaladefua/status/1069608628045402113</t>
  </si>
  <si>
    <t>https://pbs.twimg.com/media/DtgDXuLW0AAIXd2.jpg</t>
  </si>
  <si>
    <t>Calzada de Calatrava, España</t>
  </si>
  <si>
    <t>Comprometida con la enseñanza pública, con la música, con la tolerancia y hasta el moño de la mentira y la ignorante demagogia</t>
  </si>
  <si>
    <t>Por esas acciones y la actitud complaciente de muchos politiqueros, @vox_es @Santi_ABASCAL seguirá sumando votantes... RT @Bcnisnotcat_: ¡¡ATENCIÓN!! Pedimos ayuda a toda #España. Los separatistas están provocando altercados en toda Cataluña. Han escogido el día de la Constitución para tomar las calles. Los medios lo silencian. Ya no podemos más. EXIJIMOS QUE SE APLIQUE EL ARTÍCULO 155. A qué espera el presidente?</t>
  </si>
  <si>
    <t>https://twitter.com/Bcnisnotcat_/status/1070801745968852992</t>
  </si>
  <si>
    <t>Noelia Bautista</t>
  </si>
  <si>
    <t>Me declaro firmemente FAN y admiración por el Gran @Santi_ABASCAL 😍🙏🏻✋🏻🇪🇸</t>
  </si>
  <si>
    <t>VOX IRRUMPE CON LA FUERZA DE LA MAYORÍA DE ESPAÑOLES SILENCIOSOS QUE NO QUIEREN LA DESTRUCCIÓN DE NUESTRO MARAVILLOSO PAIS POR HORDAS PAGADAS POR PAÍSES QUE DESEAN SU HUNDIMIENTO...TODO EL MUNDO A VOTAR A NUESTRO LÍDER @Santi_ABASCAL</t>
  </si>
  <si>
    <t>Francisco Fabregas</t>
  </si>
  <si>
    <t>Cuanto perro cobarde hay en España. @Santi_ABASCAL estamos contigo, nos has devuelto la ilusión. 🇪🇸VOX🇪🇸 imparable</t>
  </si>
  <si>
    <t>https://pbs.twimg.com/media/Dt0SdMNWoAAtXC0.jpg</t>
  </si>
  <si>
    <t>Me gusta la gente que dice lo que piensa pero sobretodo me gusta la gente que hace lo que dice. #España</t>
  </si>
  <si>
    <t>Xavi</t>
  </si>
  <si>
    <t>El populista de ULTRA-IZQUIERDA @pnique de @ahorapodemos critica al líder de @vox_es @Santi_ABASCAL porque porta un arma. PERO............... @Pablo_Iglesias_ en 2012: "El derecho a portar armas es una de las bases de la democracia".  @mejoreszasca</t>
  </si>
  <si>
    <t>https://okdiario.com/espana/2018/12/07/iglesias-da-razon-abascal-derecho-portar-armas-bases-democracia-3438627#.XApzjQrFBFg.twitter</t>
  </si>
  <si>
    <t>Trabajando duro, working hard, travailler dur, treballant dur, traballando moito, lan gogorra......</t>
  </si>
  <si>
    <t>Omnia Veritas</t>
  </si>
  <si>
    <t>Detención inmediata de Pablo Iglesias y Quim Torra por agitar a sus masas violentas. Alguien actuará? @vox_es @Santi_ABASCAL @Ortega_Smith @monasterioR</t>
  </si>
  <si>
    <t>España  🇪🇸</t>
  </si>
  <si>
    <t>Viva la unidad de España! 🇪🇸</t>
  </si>
  <si>
    <t>Famélica legión 🔻🌍</t>
  </si>
  <si>
    <t>Cuando Abascal @Santi_ABASCAL cobraba más que el Presidente del Gobierno por cargos a dedo pagados con dinero público  #FelizFinde</t>
  </si>
  <si>
    <t>https://pbs.twimg.com/media/Dt0RIT4WoAAFUmg.jpg</t>
  </si>
  <si>
    <t>¿Que los trabajadores deben pagar la crisis de banqueros y especuladores con recortes en educación, sanidad y servicios sociales? ¡FUERA DE AQUÍ FACHA INFAME! 😠</t>
  </si>
  <si>
    <t>https://www.youtube.com/channel/UCzxgc4H0oHpD_o05R7wmEAA</t>
  </si>
  <si>
    <t>ErreGood</t>
  </si>
  <si>
    <t>En ese mismo sitio donde @Santi_ABASCAL está besando la tumba de Franco, eché un gapo con flemas la única vez que estuve. Gracias por comerte mi gargajo, Santi.</t>
  </si>
  <si>
    <t>https://pbs.twimg.com/media/Dt0Qe5-X4AI-PLw.jpg</t>
  </si>
  <si>
    <t>Queridos tuiteros el partido ciudadanos lleva años haciéndose propaganda y está ufano y se siente vencedor en las elecciones andaluzas y @vox_es en escaso tiempo...un mes, consigue de la nada 12 escaños también ..Arrasará en toda España segurísimo!!! VIVA @Santi_ABASCAL</t>
  </si>
  <si>
    <t>Miklos Lukacs</t>
  </si>
  <si>
    <t>La irrupcion de @vox_es en el horizonte politico español tampoco pasa desapercibida en el Reino Unido  cc @VOXSevilla @voxnoticias_es @Santi_ABASCAL @fjconpe @hermanntertsch @monasterioR @kikomonasterio @EGMaiquez @iarsuaga</t>
  </si>
  <si>
    <t>https://www.youtube.com/watch?v=5h-yGC7atBs</t>
  </si>
  <si>
    <t>United Kingdom</t>
  </si>
  <si>
    <t>Papá | Profesor-Investigador @usmp_oficial | PhD Management @MBSnews | Alumni LAD @StanfordCDDRL @cheveningfco | Tuits sin tildes y a título personal 🇵🇪</t>
  </si>
  <si>
    <t>Querida @susanadiaz aquí te proporciono ayuda para gobernar. De nada, pero me debes un carguito, ehhhhh???. Nota: que no se enteren en @vox_es ni que lo sepan @Santi_ABASCAL ni @Ortega_Smith</t>
  </si>
  <si>
    <t>https://pbs.twimg.com/media/Dt0PX1bXgAAppk4.jpg</t>
  </si>
  <si>
    <t>ANDALUCÍA CON @vox_es ... Y EL CAUDILLO @Santi_ABASCAL ARRIBA ESPAÑA</t>
  </si>
  <si>
    <t>https://pbs.twimg.com/media/Dt0PTCLWwAAUKmH.jpg</t>
  </si>
  <si>
    <t>ALG🔻</t>
  </si>
  <si>
    <t>El discurso de Santi Abascal y VOX se basa en criticar la inmigración, el feminismo, al PSOE y a Podemos y a los independentistas. Detrás de esto hay un programa económico neoliberal que beneficiará a unos pocos y perjudicará a la gran mayoría.</t>
  </si>
  <si>
    <t>Mara</t>
  </si>
  <si>
    <t>El programa @salvadostv con esa camara camuflada como de otro Medio, de @jordievole va a dar un millón de votantes más a @Santi_ABASCAL de @vox_es... veréis...</t>
  </si>
  <si>
    <t>Madrid. España</t>
  </si>
  <si>
    <t>Afiliada a nada-nadie excepto a la libertad. Comunicadora. Divergente Mi opinión es mía. http://madridiario.es y http://diariocritico.com APEI</t>
  </si>
  <si>
    <t>https://gab.com/PalomaLibre</t>
  </si>
  <si>
    <t>Luis</t>
  </si>
  <si>
    <t>Vamos a tener que revisar muy seriamente el concepto de "extremista". Y no tardando. @larazon_es @Santi_ABASCAL @vox</t>
  </si>
  <si>
    <t>https://pbs.twimg.com/media/Dt0OWT5W0AMLGQG.jpg</t>
  </si>
  <si>
    <t>Ser libre no es solo deshacerse de las cadenas de uno, sino vivir de una forma que respete y mejore la libertad de los demás. (Nelson Mandela)</t>
  </si>
  <si>
    <t>El Antiintermedio</t>
  </si>
  <si>
    <t>Santi Abascal ha vivido siempre del dinero público, no como Casado, Pedro Sánchez y Pablo Iglesias, que eran consultores en McKinsey.</t>
  </si>
  <si>
    <t>En una época en la que los HDLGP van de buenos, toca ser el malo. Y no pasa nada.</t>
  </si>
  <si>
    <t>Enrique J. González</t>
  </si>
  <si>
    <t>.@vox_es @Santi_ABASCAL @Albert_Rivera ‼️Otra vez. Su veleta naranja, es movida por acción de los vientos generados por esa batuta (defensora de intereses ajenos a nuestra España), que le dirige. ⛔️Sigue haciendo gala de su indefinición política. ⚠️A cambio de qué, Sr. Rivera⁉️</t>
  </si>
  <si>
    <t>https://pbs.twimg.com/media/Dt0KtrJXQAAdiaq.jpg</t>
  </si>
  <si>
    <t>Talavera la Real, Badajoz</t>
  </si>
  <si>
    <t>Análisis y opiniones personales. voxtalaveralareal@gmail.com</t>
  </si>
  <si>
    <t>http://www.voxespana.es</t>
  </si>
  <si>
    <t>Zibelina 🇪🇸 🇪🇺 🌎</t>
  </si>
  <si>
    <t>El podemita Echenique compara a Santi Abascal con 'Torrente' y las redes lo fulminan | Periodista Digital</t>
  </si>
  <si>
    <t>https://www.periodistadigital.com/politica/partidos-politicos/2018/12/06/el-ultra-de-extrema-izquierda-echenique-compara-a-abascal-son-torrente-y-las-redes-lo-fulminan.shtml</t>
  </si>
  <si>
    <t>Mundo, Europa, España</t>
  </si>
  <si>
    <t>Ciudadana demócrata no nacionalista interesada por la informacion mundial, defensora de la cultura humanista y lectora permanente. No sigo cuentas protegidas</t>
  </si>
  <si>
    <t>carl</t>
  </si>
  <si>
    <t>Pseudoarticulo bochornoso de @juanmafdez @Bluper que dice que hay que deshumanizar a @Santi_ABASCAL, solo hay que ver los comentarios. @vox_es #EleccionesAndalucía #EspañaViva #40AñosDeConstitución #2018EnResumen #DíaDeLaConstitución #ConstitucionEspañola</t>
  </si>
  <si>
    <t>https://pbs.twimg.com/media/Dt0IoWeXQAAzKlK.jpg</t>
  </si>
  <si>
    <t>ANNIBAL</t>
  </si>
  <si>
    <t>Dedicado @Santi_ABASCAL @monasterioR @vox_es</t>
  </si>
  <si>
    <t>pic.twitter.com/NRGcuOj4ED</t>
  </si>
  <si>
    <t>madrid</t>
  </si>
  <si>
    <t>Hombre blanco, español, hetereosexual , en peligro de extinción, sin máster.</t>
  </si>
  <si>
    <t>Sr. @Santi_ABASCAL perdone mi osadia al dirigirme a Vd. pero le advierto que de igual modo que no desea asistir a LA SEXTA....no acuda tampoco a La COPE a ser entrevistado por @HerreraenCOPE @carlosherreracr por estar haciendo una campaña sibilina contra @vox_es Y su persona!!</t>
  </si>
  <si>
    <t>quiquellanas</t>
  </si>
  <si>
    <t>A los que abogáis por la III República no me vengáis con manís violentas si Santi Abascal fuera vuestro próximo Jefe de Estado</t>
  </si>
  <si>
    <t>Para todo el que busca a un Dr Jekyll .. Os equivocáis de cuenta. V.E.R.D.E💚 CHILDHOOD CANCER AWARENESS 🎗🎗🎗</t>
  </si>
  <si>
    <t>Independentisto</t>
  </si>
  <si>
    <t>Que dice el payaso del argentino que alguien está chupando del bote en nuestro país. Os hacéis caquita con el gran @Santi_ABASCAL RT @pnique: Abascal lleva 20 años chupando del bote y la corrupta Esperanza Aguirre le pagaba 80.000€ al año por vivir del cuento. Por eso quiere que odies a las feministas, a los inmigrantes y a los catalanes. Para que se te olvide que es Gürtel PP pata negra.</t>
  </si>
  <si>
    <t>El desorden llega del orden, la cobardía surge del valor, la debilidad brota de la fuerza (Sun Tzu).</t>
  </si>
  <si>
    <t>Kumy Barcelona 🇪🇸</t>
  </si>
  <si>
    <t>¿Ya ha colgado @BeatrizTalegon la foto de @Santi_ABASCAL besando la tumba de Franco?</t>
  </si>
  <si>
    <t>https://pbs.twimg.com/media/Dt0Gf4KWwAA0-NY.jpg</t>
  </si>
  <si>
    <t xml:space="preserve">Tayikistán </t>
  </si>
  <si>
    <t>Cataluña es mi tierra. España mi nación. Y como buen madridista, NUNCA me rindo. Con mi escudo o encima de él. Bloqueado por Puigdemont @krls y @pablo_iglesias_</t>
  </si>
  <si>
    <t>Álvaro de Marichalar(Naufrago)</t>
  </si>
  <si>
    <t>Espero que @Albert_Rivera pacte con @Santi_ABASCAL para salvar la unidad de España y de los españoles.</t>
  </si>
  <si>
    <t>España Unida 🇪🇸</t>
  </si>
  <si>
    <t>Ni facha ni trilero, soy un náufrago. Levantar la mano y el puño es la misma mierda. ♥️💛♥️</t>
  </si>
  <si>
    <t>http://www.alvaronaufrago.com</t>
  </si>
  <si>
    <t>Qué tristeza! Torra ordena purgar a los mossos que cargaron en Gerona y Tarrasa @vox_es @Santi_ABASCAL @Ortega_Smith @RSInews</t>
  </si>
  <si>
    <t>https://www.larazon.es/local/cataluna/torra-ordena-purgar-a-los-mossos-que-cargaron-en-gerona-y-tarrasa-KM20867148</t>
  </si>
  <si>
    <t>Toño RIVAS</t>
  </si>
  <si>
    <t>📽 @Pablo_Iglesias_ califica a @vox_es como la corriente FRANQUISTA del @PPopular y a su líder @Santi_ABASCAL como un corrupto, bajo la Protección de @EsperanzAguirre 🔴 PREGUNTA ⁉️ ¿ Qué es @ahorapodemos y su líder ? @Pablo_Iglesias_ en Espejo Público.</t>
  </si>
  <si>
    <t>Llanera, Principado de Asturia</t>
  </si>
  <si>
    <t>PADRE DOS 🌞 DE HIJAS Ilusionado con C's 🍊</t>
  </si>
  <si>
    <t>Miguel Angel Bueno</t>
  </si>
  <si>
    <t>.@vox_es @Santi_ABASCAL Nuevamente Celaá literalmente les califica de ultraderecha [sic]. ¿Tampoco ahora merece una querella ese trato absolutamente ofensivo por parte de un cargo político que representa al Gobierno? Inexplicable @vox_malaga</t>
  </si>
  <si>
    <t>AMO: Artes, oficios, Política, escuchar ODIO:Grosería, tortura​, penamuerte, discriminación, hipocresía, toda paleoforma, hispanoforma y frikiforma de fascismo.</t>
  </si>
  <si>
    <t>VOX Talavera la Real</t>
  </si>
  <si>
    <t>.@vox_es @Santi_ABASCAL “¿Que para qué sirve la Monarquía? Para que alguien como tú, Pablo Mezquitas, devorado por el odio y la ambición, e impulsado por los irresponsables oligarcas de El País, no alcance nunca la jefatura del Estado. Solo por eso, ¡Viva el Rey!”.</t>
  </si>
  <si>
    <t>https://pbs.twimg.com/media/Dt0DTBxWkAAlSzt.jpg</t>
  </si>
  <si>
    <t>Talavera la Real (BADAJOZ)</t>
  </si>
  <si>
    <t>CUENTA OFICIAL de VOX en Talavera la Real (Badajoz) Partido Político. talaveralareal@badajoz.voxespana.es</t>
  </si>
  <si>
    <t>https://www.voxespana.es/badajoz</t>
  </si>
  <si>
    <t>Cardenal Hildebrando</t>
  </si>
  <si>
    <t>#Vox con q facilidad el pseudo-progresismo habla d Fascismo en #España, q bastardeadas están las palabras en boca de ignorantes. @Santi_ABASCAL y Vox participaron d elecciones democráticas y tienen una agenda popular que reclama la sociedad xq es necesaria</t>
  </si>
  <si>
    <t>Kaliningrad, Russia</t>
  </si>
  <si>
    <t>Contrarrevolucionario, Nacionalista, Católico y Anticomunista</t>
  </si>
  <si>
    <t>🇻🇪 José Ramón Pego 🇪🇸</t>
  </si>
  <si>
    <t>Pues si, una verdadera pena que @elespanolcom haya publicado esa bazofia. No pasa nada @Santi_ABASCAL , estos gestos nos ayudan a identificar a los medios que no deberíamos seguir. Por mi parte así será desde ya. RT @Santi_ABASCAL: Una irresponsabilidad de @elespanolcom haciéndole el juego a Podemos, a Bildu y los CDR, que pretenden deshumanizarnos para atacarnos impúnemente. Una verdadera pena @pedroj_ramirez</t>
  </si>
  <si>
    <t>Madrid - Barcelona</t>
  </si>
  <si>
    <t>Orgulloso papá de Alejandro y Gabriela | Venezolano y Español.</t>
  </si>
  <si>
    <t>Hoy están todos los podemitas y los separatistas alteradísimos por una fotografía de @Santi_ABASCAL besando la tumba de Franco que está corriendo como la pólvora por las redes. Es un fake como una casa, pero eso para ellos es lo de menos.</t>
  </si>
  <si>
    <t>Emonru136</t>
  </si>
  <si>
    <t>Ojalá @Pablo_Iglesias_ @Albert_Rivera @Santi_ABASCAL @sanchezcastejon y todos los que nos representáis, le dediquéis unos minutos a este articulo para que podáis sacar vuestras propias conclusiones.Ser liberal | Edición impresa | EL PAÍS</t>
  </si>
  <si>
    <t>https://elpais.com/diario/2006/03/18/opinion/1142636405_850215.html</t>
  </si>
  <si>
    <t>Zufre, España</t>
  </si>
  <si>
    <t>I'm in love til the trancas Yo no elegí nacer en Andalucía, simplemente tuve suerte.</t>
  </si>
  <si>
    <t>aventura 🇪🇸🇮🇨</t>
  </si>
  <si>
    <t>Pulula una foto de Santi Abascal, líder de VOX, besando la lápida de Franco, juzguen ustedes mismos. La izquierda radical manipuladora</t>
  </si>
  <si>
    <t>https://pbs.twimg.com/media/Dt0Ad_TWkAI3tSq.jpg</t>
  </si>
  <si>
    <t>Las Palmas de Gran Canaria, Es</t>
  </si>
  <si>
    <t>Periodista comprometido. me encanta mi país tal y como me lo encontré al nacer.Llegó el momento de cambiar radicalmente,ya he decidido mi dirección en la vida</t>
  </si>
  <si>
    <t>Juan A. Rama VOX 🇪🇸</t>
  </si>
  <si>
    <t>🔴Los podemitas están muy contentos pensando que han hallado la prueba irrefutable del fascismo de @Santi_ABASCAL . Se llevarán un chasco cuando vean que es otra #FakeNews más para desprestigiar a Vox. ¡Qué ilusos! 🤣🤣 ⬇️</t>
  </si>
  <si>
    <t>El primer paso para vivir tiempos mejores es imaginarlos. Dije 12 y sacamos 12 ✌🏼</t>
  </si>
  <si>
    <t>Español de bien.</t>
  </si>
  <si>
    <t>Girona y Terrassa Doctor @sanchezcastejon aplique el 155, o el que se le plante de las pelotas, pero aplique algo joder, que esto se les está yendo de las manos. @Santi_ABASCAL @laSextaTV @CristinaSegui_ @20m @CiudadanosCs @Albert_Rivera @InesArrimadas @pablocasado_ @A3Noticias</t>
  </si>
  <si>
    <t>Digo lo que pienso, me da lo mismo si te gusta o no, es lo que hay. Llamame facha o fascista, te responderé con un GIF.</t>
  </si>
  <si>
    <t>Buenos días @galceran_montse , @ManuelaCarmena , @provivienda_org , @emvsmadrid , @CasaReal , @sanchezcastejon , @pablocasado_ , @Albert_Rivera , @InesArrimadas , @Santi_ABASCAL . ¿También podéis revisar esto? Para que sea real, que no REAL... "GRACIAS." #stopdesahucios</t>
  </si>
  <si>
    <t>https://pbs.twimg.com/media/Dtz97yXW4AAGQcj.jpg</t>
  </si>
  <si>
    <t>Séneca</t>
  </si>
  <si>
    <t>VOX ha descoyuntado el discurso de la izquierda, y ahora recurren a un montaje fotográfico con Santi Abascal besando la tumba de Franco, que, por su edad, no sabrá ni dónde está dentro del Valle</t>
  </si>
  <si>
    <t>Córdoba, España</t>
  </si>
  <si>
    <t>Continuar haciendo del Real Madrid el mejor equipo del Mundo</t>
  </si>
  <si>
    <t>Who Is M.Rajoy?</t>
  </si>
  <si>
    <t>A ver vamos a hablar claro de las cosas: @Santi_ABASCAL llama papi y mami a Aznar y Aguirre. #TiempodepactosARV</t>
  </si>
  <si>
    <t>pic.twitter.com/QyVJOTcBtM</t>
  </si>
  <si>
    <t>Don Manuel Azaña: Paz, Piedad y Perdón. 1938</t>
  </si>
  <si>
    <t>Buenos días @galceran_montse , @ManuelaCarmena , @provivienda_org , @emvsmadrid , @CasaReal , @sanchezcastejon , @pablocasado_ , @Albert_Rivera , @InesArrimadas , @Santi_ABASCAL . Le echáis un vistazo a esto, ¿¿¿POR FAVOR??? "GRACIAS."  #stopdesahuciosRT @alwaysfree86: Mi desahucio terminará de la peor de las maneras..SUICIDIO @galceran_montse @ManuelaCarmena @provivienda_org @emvsmadrid @La1_tve @antena3com @cuatro @telemadrid @telecincoes @laSextaTV @MADRID @ComunidadMadrid @JMDTetuan @Tetuan30Dias @Invisibles_T @OSTetuan</t>
  </si>
  <si>
    <t>Toda una vida luchando por la #LIBERTAD Santi Abascal, un ejemplo de Valentía y Coraje</t>
  </si>
  <si>
    <t>https://www.facebook.com/marisol.tabuyo/videos/10156828740077954/</t>
  </si>
  <si>
    <t>Pep</t>
  </si>
  <si>
    <t>Santi (@Santi_ABASCAL), ¿frotándose las manos? RT @eljueves: Pues menos mal que gobiernan los rojos...</t>
  </si>
  <si>
    <t>https://twitter.com/eljueves/status/1070963769872916480</t>
  </si>
  <si>
    <t>https://pbs.twimg.com/media/DtzT3XMWoAEO0Fm.jpg</t>
  </si>
  <si>
    <t>Bikini Alto, Castelló.</t>
  </si>
  <si>
    <t>"Let me be your Nano"</t>
  </si>
  <si>
    <t>Luis Ángel Aguilar</t>
  </si>
  <si>
    <t>A quienes creen que @vox_es es un partido nuevo, oigan la contundencia con la que @Pablo_Iglesias_ explica a @susannagriso quienes son y de donde vienen: #VOX y @Santi_ABASCAL son la parte más rancia y franquista del PP de #Aznar y #EsperanzaAguirre, de cuya corrupción vivieron.</t>
  </si>
  <si>
    <t>pic.twitter.com/LMejRmOydb</t>
  </si>
  <si>
    <t>LA TERCA UTOPÍA</t>
  </si>
  <si>
    <t>Activista social, comentarista político, profesor, creyente, laico,rojo y cojo Delegado de @fundalatin en España y parte de @La_PAH,#ATTAC, #Podemos,#CCP,#RRCC</t>
  </si>
  <si>
    <t>http://luisangelaguilar.blogspot.com</t>
  </si>
  <si>
    <t>Antonio Montoya</t>
  </si>
  <si>
    <t>- Lo veis, @Santi_ABASCAL es franquista + Tio, se ve de lejos que es un montaje - Calla fascista</t>
  </si>
  <si>
    <t>https://pbs.twimg.com/media/Dtz5RuxWoAEKHAY.jpg</t>
  </si>
  <si>
    <t>Aprendes cuando palmas lo que apuestas Insta: a.montoyag</t>
  </si>
  <si>
    <t>Edson</t>
  </si>
  <si>
    <t>Qué torpe este señor @Santi_ABASCAL para irse contra la violencia de género, el aborto y comunidad lgtb. Lo banco en inmigración, sanidad y anti independentismos.</t>
  </si>
  <si>
    <t>Lima, Peru</t>
  </si>
  <si>
    <t>Haragán (?) sometido por el sistema, el único que funciona. @pasededesprecio</t>
  </si>
  <si>
    <t>http://limaldita.wordpress.com</t>
  </si>
  <si>
    <t>Luis Castilla</t>
  </si>
  <si>
    <t>Los comunistas de toda la vida han trucado la foto de Santi Abascal besando la tumba de Franco. Es mentira. Pero como son unos zombies indoctrinante se creen cualquier cosa.</t>
  </si>
  <si>
    <t>https://pbs.twimg.com/media/Dtz4pf0WwAAQNZa.jpg</t>
  </si>
  <si>
    <t>Economista Liberal, demócrata y patriota. Jubilado de banca, me dedico al cuidado de mis rosas, que aprendí en Inglaterra.</t>
  </si>
  <si>
    <t>jordiwhat</t>
  </si>
  <si>
    <t>Oye, @Santi_ABASCAL y @vox_es estaba leyendo vuestro programa, decís que expulsareis a todos los inmigrantes tanto legales como y legales. ¿Incluye a los reyes eméritos? Uno nacido en Italia y otra en Grecia. Si vienen incluidos me replanteo el voto XD</t>
  </si>
  <si>
    <t>Baleares, Islas Baleares</t>
  </si>
  <si>
    <t>Programador web.</t>
  </si>
  <si>
    <t>http://jordiwhatstudios.com</t>
  </si>
  <si>
    <t>Nizar⁩⁦🌹</t>
  </si>
  <si>
    <t>Santi Abascal diciéndole a Franco que ellos son de extrema necesidad</t>
  </si>
  <si>
    <t>https://pbs.twimg.com/media/Dtz3265WoAEoeRb.jpg</t>
  </si>
  <si>
    <t>Reino de Marruecos</t>
  </si>
  <si>
    <t>@psoe 🌹</t>
  </si>
  <si>
    <t>Bella GRINCHdómita</t>
  </si>
  <si>
    <t>Lo normal es que si optas a ser Presidente de España es que borres España de tus discursos y luego cuando voten a @Santi_ABASCAL y tú te quedes en la mierda, te preguntes por qué.</t>
  </si>
  <si>
    <t>Madriz, Barcelona, Alicante</t>
  </si>
  <si>
    <t>La política me pone. Me muerdo los labios porque la lengua no puedo. Intolerancia al buenismo. Soy 6 pecados capitales. #MuerteYDestrucción #ContraGéneros</t>
  </si>
  <si>
    <t>http://www.bellaindomita.com</t>
  </si>
  <si>
    <t>GM</t>
  </si>
  <si>
    <t>El ciberwarrior que quiere salir a matar "fasistas" y morir por la república. Eso si, después de que su madre le dé la merienda y termine la partida de call of duty @azota_progres @pnique @TeresaRodr_ @Santi_ABASCAL Y los peligrosos son los de @vox_es, verdad @susanadiaz @PSOE</t>
  </si>
  <si>
    <t>https://pbs.twimg.com/media/Dtz3ixnXgAAUNUJ.jpg</t>
  </si>
  <si>
    <t>Estudie enfrente de un colegio de pago.</t>
  </si>
  <si>
    <t>REZEMOS</t>
  </si>
  <si>
    <t>Algo está haciendo bien @vox_es cuando hay tanta gente preocupada en este país.... Vamos bien @Santi_ABASCAL</t>
  </si>
  <si>
    <t>zaragocista y de D10S</t>
  </si>
  <si>
    <t>Por eso estos representan a la España muerta</t>
  </si>
  <si>
    <t>https://eldebate.es/politica-de-estado/las-4-menciones-a-espana-que-podemos-borro-del-discurso-de-pablo-iglesias-tras-el-2-d-20181207</t>
  </si>
  <si>
    <t>paco</t>
  </si>
  <si>
    <t>Bienvenidos a la República de Galapagar 🤣🤣🤣 @hermanntertsch @Santi_ABASCAL @alonso_dm @JosPastr @Pablo_Iglesias_</t>
  </si>
  <si>
    <t>https://pbs.twimg.com/media/Dtz2ZJ3XcAE7Q5A.jpg</t>
  </si>
  <si>
    <t>Charlie</t>
  </si>
  <si>
    <t>Ya están los rojos comunistas chavistas cediendo ante los moros, que seguro que apoyan a los independentistas. Sálvanos @Santi_ABASCAL!! RT @eldiarioes: ‼️ Interior anuncia que empezará a retirar las cuchillas de las vallas de Ceuta y Melilla a principio de año  Informa @Gabriela_Schz</t>
  </si>
  <si>
    <t>https://twitter.com/eldiarioes/status/1071000915505631232
https://www.eldiario.es/desalambre/Interior-comenzara-cuchillas-Ceuta-Melilla_0_843765795.html</t>
  </si>
  <si>
    <t>https://pbs.twimg.com/media/Dtz1j9dXcAAX1bA.jpg</t>
  </si>
  <si>
    <t>buenppero</t>
  </si>
  <si>
    <t>Tanto @Pablo_Iglesias_ como @Santi_ABASCAL estan liberando deliberadamente olas de racismo, xenofobia, odio, y sexismo latentes pero no legitimadas, teneis a la sociedad esperando a que los armeis y veros en la plaza del 2 de mayo.</t>
  </si>
  <si>
    <t>D derechas,Pijo, Ideologo, Inspirador del PP, Yo le dije Aznar que se afeitara el Bigote, Bisnieto del Padre del Capitalismo Neoliberal Salvaje. Viva Espana!!!</t>
  </si>
  <si>
    <t>Adri</t>
  </si>
  <si>
    <t>Hostia! Como se entere @Santi_ABASCAL se va a enfadar mucho eh! RT @eldiarioes: ‼️ Interior anuncia que empezará a retirar las cuchillas de las vallas de Ceuta y Melilla a principio de año  Informa @Gabriela_Schz</t>
  </si>
  <si>
    <t>Ourense, España</t>
  </si>
  <si>
    <t>El 70% de mi cuerpo está hecho de Stefanie Joosten. Entre la música y los videojuegos. Canto en la ducha y toco la guitarra fuera. Antes hacía vídeos.</t>
  </si>
  <si>
    <t>azotedepoliticos</t>
  </si>
  <si>
    <t>El petróleo 30% cauda en tres meses y gasoliba suve cada dia. Es de verguenza @pablocasado_ @Albert_Rivera @Santi_ABASCAL</t>
  </si>
  <si>
    <t>ESPAÑOL Y EUROPEO por los cuatro costados y defensor de la unidad de España. Anti independentista vividores de ESPAÑA Y especialmente ANTI POTEMOS.</t>
  </si>
  <si>
    <t>Fco. J. Contreras</t>
  </si>
  <si>
    <t>Así era la vida de @Santi_ABASCAL (ya saben, ese que "no ha hecho otra cosa que vivir de la política") en el País Vasco hace 17 años:</t>
  </si>
  <si>
    <t>http://bit.ly/2AZa0C1</t>
  </si>
  <si>
    <t>Catedrático Universidad. Autor de «Nueva izquierda y cristianismo», «Liberalismo, catolicismo y ley nat.» y otros libros. Columnista @actuallcom y @disidentia.</t>
  </si>
  <si>
    <t>https://www.actuall.com/author/fjcontreras/</t>
  </si>
  <si>
    <t>JoseD.</t>
  </si>
  <si>
    <t>Pues va a tener razón @ldpsincomplejos: el mensaje de Santi Abascal cala en la gente por que no habla en politiqués. Algo que parecen haber olvidado Rivera y Casado en cuanto han tocado moqueta. Te gustará más o menos, pero es un mensaje que no se pierde en indefiniciones.</t>
  </si>
  <si>
    <t>Ph’nglui mglw nafh Cthulhu R’lyeh wgah’nagl fhtagn.</t>
  </si>
  <si>
    <t>No entiendo q partidos totalitarios y en contra de España sigan sin estar ilegalízados y los tenemos q mantener con nuestros impuestos. Es q somos gilipollas @Santi_ABASCAL @Albert_Rivera @pablocasado_</t>
  </si>
  <si>
    <t>Eugenio Snta Bárbara</t>
  </si>
  <si>
    <t>A ver lo que nos vende el domingo, en @salvadostv , @jordievole que tratará sobre @vox_es sin haber entrevistado a @Santi_ABASCAL</t>
  </si>
  <si>
    <t>Úbeda</t>
  </si>
  <si>
    <t>📷The Official Twitter account of Eugenio Santa Bárbara. Cofrade e inconformista profesional. Tecnología, medios y fotografía. Desde 1996 un ubetense en la Red.</t>
  </si>
  <si>
    <t>http://www.ubedaenlared.com</t>
  </si>
  <si>
    <t>JacaPaca</t>
  </si>
  <si>
    <t>Ayer 40 Aniversario d Constitución, mi chiquilla Presidenta d @Congreso_Es, @anapastorjulian habla d posible reforma constitucional y d no haber candados, mientras mi @asierantona lanza tuet contra los q quieren hacerlo con estética + propia d ese otro vasco q es @Santi_ABASCAL</t>
  </si>
  <si>
    <t>https://pbs.twimg.com/media/DtzzNLIXQAAjoyf.jpg</t>
  </si>
  <si>
    <t>Las Palmas de Gran Canaria</t>
  </si>
  <si>
    <t>🐎 Progre. Fake equina. Activista de la frivolidad, como mejor remedio para soportar tanto cutrerío bananero.</t>
  </si>
  <si>
    <t>buch prime</t>
  </si>
  <si>
    <t>VEO QUE @pedroj_ramirez Y OTROS MEDIOS NO SE HAN DADO CUENTA AÚN..DE QUE NO ATACAN A @vox_es NI A @Santi_ABASCAL ATACAN A UNA MASA SOCIAL QUE LES RESPALDA HARTA DE INVENTADORES DE OPINIÓN OS PASARAN POR ENCIMA.</t>
  </si>
  <si>
    <t>Reino de Valencia y Arizona</t>
  </si>
  <si>
    <t>Anti panca. Blavero y español. Católico, viva La Legión, facha.¿Donde está nuestro jamón ibérico de bellota? .Libre y anti comunista ¡ ARRIBA ESPAÑA!</t>
  </si>
  <si>
    <t>🔴🔴🔴 #ATENCIÓN Miembros de Vox denuncian haber sido agredidos en su sede de Lorca @Santi_ABASCAL</t>
  </si>
  <si>
    <t>joaquin santana</t>
  </si>
  <si>
    <t>#TiempoDePactosARV Como bien dice @carlosbardem en un twitt con esta imagen de fondo "esto es @Santi_ABASCAL @vox_es la extrema derecha Ñ🇪🇸" y ahora si quieres García Ferreras @DebatAlRojoVivo @laSextaTV vas y lo blanqueas 💩💩 #JaqueAlRégimenDel78 #Constitución40</t>
  </si>
  <si>
    <t>https://pbs.twimg.com/media/DtzyQz_WwAAZ9r1.jpg</t>
  </si>
  <si>
    <t>⬅MUY DE IZQUIERDAS / ❌EX DELEGADO DE UGT/ ⚽Elchecf💚</t>
  </si>
  <si>
    <t>http://www.elcheclubdefutbolsad.com</t>
  </si>
  <si>
    <t>Jon E. Illescas</t>
  </si>
  <si>
    <t>Interesante trabajo de @MalditoDato sobre @Santi_ABASCAL y la coherencia "liberal" del líder de @vox_es ...</t>
  </si>
  <si>
    <t>La Dictadura del Videoclip. Escritor, profesor, investigador y pintor. Marxista y demócrata. Dr. en Sociología y Lic. en Bellas Artes. Seudónimo: Jon Juanma.</t>
  </si>
  <si>
    <t>http://jonjuanma.blogspot.com.es/</t>
  </si>
  <si>
    <t>Elpa Jarraco</t>
  </si>
  <si>
    <t>Hoy es un buen día para @Pablo_Iglesias_ , @pablocasado_ , @Albert_Rivera, @Santi_ABASCAL y demás crispadores profesionales. No tenéis altura política para manejar situaciones tan delicadas como la que vive España. ¡Sois unos incendiarios irresponsables!</t>
  </si>
  <si>
    <t>Dicen que me parezco a Benicio del todo.</t>
  </si>
  <si>
    <t>Mi otro yo 🇪🇸</t>
  </si>
  <si>
    <t>Si vota a Podemos no me siga, le aseguro que no le gustará lo que va a leer. Siempre satisfactoriamente insatisfecho.</t>
  </si>
  <si>
    <t>José Luis Sánchez</t>
  </si>
  <si>
    <t>El "periódico" @elespanolcom sigue con su campaña a favor de Vox, con este titular le ha regalo a vox otro 200.000 votos... ¿Será @Santi_ABASCAL un ser de otro planeta?🤔 Vaya titulares, vaya titulares... 🤦</t>
  </si>
  <si>
    <t>https://pbs.twimg.com/media/Dtzvq3QWsAACpin.jpg</t>
  </si>
  <si>
    <t>Toledo-Illescas-Madrid</t>
  </si>
  <si>
    <t>Despacho virtual a un tuit de distancia. Laboral,Civil, Penal, Administrativo email: sanchezmirandaabogados@outlook.es Bombero y Abogado rara mezcla</t>
  </si>
  <si>
    <t>Ignacio del Río 🇪🇸🇪🇺</t>
  </si>
  <si>
    <t>Lo llevo diciendo hace tiempo. @ahorapodemos está más cerca de Le Pen que @Santi_ABASCAL y @vox_es RT @CristinaSegui_: Sobre los parecidos entre Podemos y el FN que he comentado en @BrujulaOndaCero esta noche.</t>
  </si>
  <si>
    <t>https://twitter.com/cristinasegui_/status/1070444374058823681</t>
  </si>
  <si>
    <t>https://pbs.twimg.com/media/Dtr7e1NXcAAY3bc.jpg</t>
  </si>
  <si>
    <t>Arquitecto curioso o curioso arquitecto. No lo he decidido, 🤔</t>
  </si>
  <si>
    <t>CeciliaST</t>
  </si>
  <si>
    <t>según mi observación, Ana Rosa @anarosaq T5 @elprogramadear tendria que invitar a @Santi_ABASCAL y antena3 @antena3com Susana Griso @susannagriso a @Ortega_Smith para conseguir mejorar visitas en su twitter , entren y miran que lo que digo es verdad 😊😉</t>
  </si>
  <si>
    <t>"Aut viam inveniam aut faciam"</t>
  </si>
  <si>
    <t>Pedro Cortez</t>
  </si>
  <si>
    <t>¿Llegarán aquí también?  vía @peru21noticias @vox_es @monasterioR @Ortega_Smith @Santi_ABASCAL</t>
  </si>
  <si>
    <t>https://peru21.pe/opinion/ensayos-impopulares-aldo-mariategui/llegaran-445015</t>
  </si>
  <si>
    <t>Nos roban nuestras herencias, nos expropian la gestion de nuestros monumentos nos entierran en impuestos... y todo para gastarselo en putas, coca, y en disparates como este,  @psoedeandalucia @vox_es @susanadiaz @Santi_ABASCAL</t>
  </si>
  <si>
    <t>https://www.abc.es/deportes/abci-cierra-estadio-cartuja-abandono-201812061702_noticia.html</t>
  </si>
  <si>
    <t>GISLA</t>
  </si>
  <si>
    <t>Vaya @anarosaq pues va a resultar que @Santi_ABASCAL tenía razón con lo de las denuncias falsas, pero claro al ser mujer ni se le reprocha.</t>
  </si>
  <si>
    <t>https://youtu.be/SIu4SW_EY2I</t>
  </si>
  <si>
    <t>Mercedes Ortuño</t>
  </si>
  <si>
    <t>Hola, @Santi_ABASCAL, estaba en Spotify escuchando los temas más reproducidos en mi 2018 y me he acordado de ti con este. Espero que te guste; no le digo a cualquiera que me recuerda a una canción.</t>
  </si>
  <si>
    <t>https://open.spotify.com/track/7pBoi7yWCPzn3UjeMsGKg6?si=UvyiKJYqSweuumqcirHgzQ</t>
  </si>
  <si>
    <t>Elda - Madrid - Torino</t>
  </si>
  <si>
    <t>Viviendo y aprendiendo en @CMUChaminade. Estudiando Periodismo y Humanidades en @uc3m. || In Erasmus ad @unito.</t>
  </si>
  <si>
    <t>xavier garriga</t>
  </si>
  <si>
    <t>Recordad que si no fuera por Vox no tendríais un puto pantano. Tendríais que hacer como @Santi_ABASCAL e ir en procesión a besarle el culo.</t>
  </si>
  <si>
    <t>https://pbs.twimg.com/media/DtzsUZ1WkAArl6G.jpg</t>
  </si>
  <si>
    <t>Catalunya is not Spain</t>
  </si>
  <si>
    <t>No tinc pressa.</t>
  </si>
  <si>
    <t>Chustaman_pro</t>
  </si>
  <si>
    <t>Si la democracia fuese un videojuego, Santi Abascal sería el Vox final</t>
  </si>
  <si>
    <t>Que mierda de vida.</t>
  </si>
  <si>
    <t>Cinosargo</t>
  </si>
  <si>
    <t>Hay dos ´Smith´ en la vida de @Santi_ABASCAL : @Ortega_Smith y Smith and Wesson. Y no sé cuál es más peligroso de los dos.</t>
  </si>
  <si>
    <t>"Alabo a los que me dan, ladro a los que no me dan y a los malos les muerdo"</t>
  </si>
  <si>
    <t>Jorge Gallardo</t>
  </si>
  <si>
    <t>Estoy en el Congreso de la @revistalatinacs en #tenerife y aquí también se habla del fenómeno @vox_es en RRSS. @CervantesFAQs @Santi_ABASCAL @CristinaSegui_ fueron las cuentas con más impacto tras el salto de 600 migrantes en Ceuta según un estudio de la @UNIRuniversidad</t>
  </si>
  <si>
    <t>https://pbs.twimg.com/media/DtzrIoBXQAANJFj.jpg</t>
  </si>
  <si>
    <t>Subdirector de @EspejoPublico en @antena3com. Doctor en Comunicación y Codirector del grado de #comunicación de la @universidadcjc.</t>
  </si>
  <si>
    <t>http://www.jorgegallardo.es</t>
  </si>
  <si>
    <t>falkfive</t>
  </si>
  <si>
    <t>Esta chica es poesia @vox_es. le va a quitar el puesto a @Santi_ABASCAL Volvemos a franco2.0. Tener una conversacion con ella es como hablar con tu abuelo, pero tu abuelo vivio aquella epoca, y esta chica habla desde la ignorancia.</t>
  </si>
  <si>
    <t>https://pbs.twimg.com/media/DtzqfvtWoAA4K30.jpg</t>
  </si>
  <si>
    <t>O Grove, España</t>
  </si>
  <si>
    <t>Conócete a ti mismo😝</t>
  </si>
  <si>
    <t>https://instagram.com/_u/falkfive?r=sun1</t>
  </si>
  <si>
    <t>🇪🇸Juan Ignacio Medina🇪🇸</t>
  </si>
  <si>
    <t>Pedro Sanchez no puede quedarse impasible ante la defensa de la violencia por parte de Torra y la criminalización de los que nos defienden de los violentos. #155Ya @mossos @sanchezcastejon @pablocasado_ @Santi_ABASCAL @LuisAlfBorbon</t>
  </si>
  <si>
    <t>https://www.abc.es/espana/catalunya/politica/abci-crisis-gobierno-quim-torra-cargas-mossos-contra-201812071046_noticia.html</t>
  </si>
  <si>
    <t>Madrid, ESPAÑA</t>
  </si>
  <si>
    <t>Autodesk Flame and Nuke operator. VFX. Orgulloso de ser Español.🇪🇸</t>
  </si>
  <si>
    <t>http://www.imdb.com/name/nm2038728/</t>
  </si>
  <si>
    <t>Football confidencial.</t>
  </si>
  <si>
    <t>El nivel político en España está tan bajo desde la crisis q hemos llegado a conocer a personajes populistas y caducos como : @Pablo_Iglesias_ @MonederoJC @Ortega_Smith @Santi_ABASCAL . @ahorapodemos y @vox_es son hermanos en su forma de intentar llegaros con lo que os gusta oír.</t>
  </si>
  <si>
    <t>Machirolandia.</t>
  </si>
  <si>
    <t>Información confidencial del fútbol mundial.Haciendo amigos. Preguntar aquí.</t>
  </si>
  <si>
    <t>A POR ELLOS..A LIMPIAR ESPAÑA DE BÁRBAROS PODEMITAS ...VIVA NUESTRO CAUDILLO @Santi_ABASCAL</t>
  </si>
  <si>
    <t>https://pbs.twimg.com/media/DtzlgEHW4AEkjBo.jpg</t>
  </si>
  <si>
    <t>LAS TELEVISIONES SE RIFAN A @vox_es TODAS LE IMPLORAN ACUDAN A SUS PROGRAMAS...Y EN LA SEXTA COMO NO QUIEREN ACUDIR...DE REVANCHA VAN A EMITIR UN PROGRAMA ESPECIAL DEFICADO A @vox_es .... MENUDA PROPAGANDA, VIVA NUENTRO CAUDILLO @Santi_ABASCAL</t>
  </si>
  <si>
    <t>Juan R Calero Garcia</t>
  </si>
  <si>
    <t>Pues yo he oído hablar a @Santi_ABASCAL y conozco gente q lo conoce de cerca, y todos coinciden q es una persona humana. Sería bueno para la democracia q se discutan ideas y se respeten a las personas RT @Santi_ABASCAL: Una irresponsabilidad de @elespanolcom haciéndole el juego a Podemos, a Bildu y los CDR, que pretenden deshumanizarnos para atacarnos impúnemente. Una verdadera pena @pedroj_ramirez</t>
  </si>
  <si>
    <t>https://twitter.com/santi_abascal/status/1070802202787241984
https://twitter.com/FrayJosepho/status/1070786718683619328</t>
  </si>
  <si>
    <t>Murcia, España</t>
  </si>
  <si>
    <t>Abogado en ejercicio, especializado en derecho societario y bancario. Más globero que ciclista👍</t>
  </si>
  <si>
    <t>http://www.despachocalero.com</t>
  </si>
  <si>
    <t>RE🎗PÚ🎗BLI🎗CA</t>
  </si>
  <si>
    <t>Vaya, vaya, @Santi_ABASCAL , ¿¿¿que no eres de qué??? #Vividor RT @danierdecai35: Santi Abascal susurrándole a Franco que él no es de extrema derecha.</t>
  </si>
  <si>
    <t>Calixta Berry</t>
  </si>
  <si>
    <t>🔴INFO @ahorapodemos @iunida @elespanolcom @LaVanguardia @elpais @cnn @vox_es @abc_es @Santi_ABASCAL @Ortega_Smith @CristinaSegui_ @monasterioR</t>
  </si>
  <si>
    <t>https://pbs.twimg.com/media/Dtzj9DUW4AAPLiN.jpg</t>
  </si>
  <si>
    <t>España, el gran negocio de la burguesia catalana - No hay campo sin grillo ni tonto sin lazo amarillo</t>
  </si>
  <si>
    <t>Nitas_pc</t>
  </si>
  <si>
    <t>I liked a @YouTube video  Santi Abascal con Jordi, follonero, en el bar de Salvador Monedero</t>
  </si>
  <si>
    <t>visitar el canal de YouTube para saber de que trata ( NITAS 1 )</t>
  </si>
  <si>
    <t>Antonio Bretón</t>
  </si>
  <si>
    <t>Entrevista de @anarosaq a @Santi_ABASCAL ¿Cómo se definiría AR como periodista de izquierda, derecha, filonoseque....?</t>
  </si>
  <si>
    <t>https://youtu.be/EdpZF3nLMF8</t>
  </si>
  <si>
    <t>El Escorial, España</t>
  </si>
  <si>
    <t>No soy mayor, soy como tú</t>
  </si>
  <si>
    <t>un malagueño mas</t>
  </si>
  <si>
    <t>Así califica @elespanolcom la entrevista de Ana rosa al líder de @vox_es @Santi_ABASCAL Bazofia periodística....</t>
  </si>
  <si>
    <t>https://pbs.twimg.com/media/DtzjUv_XQAUPzHY.jpg</t>
  </si>
  <si>
    <t>ESPAÑOL Y MUY ORGULLOSO DE ELLO, DE MALAGA LA BELLA, ANTICOMUNISTA, PROVIDA Y ANTIFEMINISTA. #DefiendeEspaña</t>
  </si>
  <si>
    <t>Alejandro Barroso 🇪🇸</t>
  </si>
  <si>
    <t>🚨La otra cara de la moneda... 🚨@vox_es @Santi_ABASCAL RT @_SantosTrinidad: El dueño del local destrozado en Cádiz: "Nada hubiera ocurrido sin el llamamiento de Podemos"</t>
  </si>
  <si>
    <t>https://twitter.com/_santostrinidad/status/1070611428074291200
https://okdiario.com/espana/2018/12/06/dueno-del-local-destrozado-cadiz-nada-hubiera-ocurrido-sin-llamamiento-podemos-3432922</t>
  </si>
  <si>
    <t>Que nadie saque fruto de tu trabajo. Al débil lo hacen fuerte y al fuerte le hace débil.</t>
  </si>
  <si>
    <t>VΛYESA</t>
  </si>
  <si>
    <t>Impulsor creativo de mi vida. Constructor de empresas, emprendedor, desarrollador... Y ademas: #nutricion, #fitness y #gastronomia</t>
  </si>
  <si>
    <t>http://www.nutrimas.es</t>
  </si>
  <si>
    <t>josé antonio vicente</t>
  </si>
  <si>
    <t>#España #Andalucia #VOX #Podemos @Pablo_Iglesias_ VS @Santi_ABASCAL Como la vida misma. RT @Pablito_Pablera: ¿Quién ha sido el genio que ha hecho esto de @Santi_ABASCAL y @Pablo_Iglesias_? 😂😂😂😂😂😂😂😂😂😂😂😂😂😂😂😂😂😂</t>
  </si>
  <si>
    <t>https://twitter.com/Pablito_Pablera/status/1070430839585026048</t>
  </si>
  <si>
    <t>pic.twitter.com/gPdFkSV4zG</t>
  </si>
  <si>
    <t>Principado de Asturias, España</t>
  </si>
  <si>
    <t>Los que viven de la actual política son vomitivos, da igual el palo,te fallaron, te engañaron y seguirán igual. viva España</t>
  </si>
  <si>
    <t>maria jose sillero</t>
  </si>
  <si>
    <t>Jugando con mi primo a los Playmobil me he encontrado el Playmobil de Santi Abascal 🤦🤦🤦🤦😹😹😹😹😹😹😹</t>
  </si>
  <si>
    <t>https://pbs.twimg.com/media/DtzhNqVWoAAKGKw.jpg</t>
  </si>
  <si>
    <t>ventorros de san jose</t>
  </si>
  <si>
    <t>Ingenieria mecánica y diseño idustrial UMA Apasionada del futbol.</t>
  </si>
  <si>
    <t>Juanan Martín</t>
  </si>
  <si>
    <t>Madre mia, más falsa no puede ser la foto... No digo que Santi Abascal no le encantaría hacerlo. Pero la foto es mas falsa que el master de la Cifu. RT @danierdecai35: Santi Abascal susurrándole a Franco que él no es de extrema derecha.</t>
  </si>
  <si>
    <t>Entre pucheros y tinajas...</t>
  </si>
  <si>
    <t>Aprendiendo cada día. Viticultor. Octava generación de pasteleros. Antes cocinero en: Heart Ibiza, elBulliLAB, Aponiente⚓️</t>
  </si>
  <si>
    <t>España en peligro</t>
  </si>
  <si>
    <t>Así responde Santi Abascal a los que dicen que Vox es inconstitucional</t>
  </si>
  <si>
    <t>https://www.cope.es/n/305975</t>
  </si>
  <si>
    <t>Por qué España no desaparezca</t>
  </si>
  <si>
    <t>Barbadillo</t>
  </si>
  <si>
    <t>http://va.newsrepublic.net/s/RYmMfY</t>
  </si>
  <si>
    <t>Valkafolid</t>
  </si>
  <si>
    <t>Noticias</t>
  </si>
  <si>
    <t>La irresponsabilidad de Ana Rosa y Telecinco humanizando al líder de la extrema derecha Aquí tenemos a un supuesto periodista @Juanmafdez calificando a @Santi_ABASCAL como un animal, o algo similar no humano. Y esto lo escriben en @elespanolcom</t>
  </si>
  <si>
    <t>http://disq.us/t/398qdxc</t>
  </si>
  <si>
    <t>Me gustaría ver la entrevista de @anarosaq a @Santi_ABASCAL de @vox_es ¿alguien puede colgar el vídeo? Gracias</t>
  </si>
  <si>
    <t>https://pbs.twimg.com/media/DtzcYFlW0AAb82L.jpg</t>
  </si>
  <si>
    <t>Ana RBlanco Ѱ</t>
  </si>
  <si>
    <t>Necesitamos huir de los sectarismos y de las dos Españas. Menos pasado y más vivir el presente (es salud mental). Menos divisiones, menos extremismos y más términos medios🙏🏼 ¡Gracias políticos! 😊 @sanchezcastejon @pablocasado_ @Pablo_Iglesias_ @Albert_Rivera @Santi_ABASCAL</t>
  </si>
  <si>
    <t>Psicóloga y muy sportinguista. Rebelde e inconformista como Mafalda. Flores, mar y rincones bonitos. Asturias, mi patria querida</t>
  </si>
  <si>
    <t>El Rey Juan Carlos</t>
  </si>
  <si>
    <t>Te das cuenta del nivel intelectual de los votantes de @Vox #Vox cuando pones que su líder @Santi_ABASCAL es un perroflauta que vive del Estado y nunca ha trabajado. Gracias a @susannabeli por este nivel cultural.</t>
  </si>
  <si>
    <t>https://pbs.twimg.com/media/Dtzbb9wXcAE2ark.jpg</t>
  </si>
  <si>
    <t>La Zarzuela</t>
  </si>
  <si>
    <t>Rey de España, campechano y fucker real. (Cuenta Parodia)</t>
  </si>
  <si>
    <t>http://www.casareal.es/</t>
  </si>
  <si>
    <t>🐂 Juan Español 🐂</t>
  </si>
  <si>
    <t>Me estoy dando cuenta de que el Sr. @Santi_ABASCAL de @vox_es cuando empieza a hablar y a coger carrerrilla valdría para rapear y para competir con cualquier rapero en una pelea de gallos...El tío tiene "Flow"... iiiVIVA ESPAÑA!!!</t>
  </si>
  <si>
    <t>Dehesa, Tauromaquia y Pasodoble 🇪🇸🐂Desde los chiqueros🇪🇸🐂</t>
  </si>
  <si>
    <t>Juan Jesús Trujillo</t>
  </si>
  <si>
    <t>Chupando del bote de las comunidades que quieres eliminar, no? @Santi_ABASCAL RT @MalditoDato: Santiago Abascal cobró entre 2011 y 2013 un sueldo público superior al del Presidente del Gobierno. Según ha reconocido la Comunidad de Madrid a  a través de una solicitud de información pública.</t>
  </si>
  <si>
    <t>https://twitter.com/MalditoDato/status/1069642703380582400
http://Maldita.es
https://maldita.es/malditodato/cuando-abascal-cobraba-mas-que-el-presidente-del-gobierno-por-cargos-a-dedo-pagados-con-dinero-publico/</t>
  </si>
  <si>
    <t>Gran Canaria</t>
  </si>
  <si>
    <t>Ingeniero Eléctrico - Máster en Ingeniería Industrial - ULPGC Sostenibilidad y energías renovables</t>
  </si>
  <si>
    <t>Pablo Portales</t>
  </si>
  <si>
    <t>Elenco que circula por las redes sociales "como pez en el agua" del #nacionalpopulismo: @realDonaldTrump (Estados Unidos), @jairbolsonaro (Brasil); @matteosalvinimi (Italia); @Santi_ABASCAL (España); @Nigel_Farage (Gran Bretaña)</t>
  </si>
  <si>
    <t>https://www.lavanguardia.com/local/valencia/20181206/453373305962/redes-sociales-ultraderecha-manipulacion-fake-news-vox-brexit-donald-trump.html</t>
  </si>
  <si>
    <t>pabloportales.blogspot.com.es/</t>
  </si>
  <si>
    <t>Periodista</t>
  </si>
  <si>
    <t>http://www.ambelspeusaterra.blogspot.com</t>
  </si>
  <si>
    <t>Burladero</t>
  </si>
  <si>
    <t>OPINIÓN.- CON UN PAR.- Vox Pópuli @vox_es @Santi_ABASCAL</t>
  </si>
  <si>
    <t>https://www.burladero.tv/opinion/con-un-par/2018/12/7/vox-populi-2542.html</t>
  </si>
  <si>
    <t>Cuenta de Twitter oficial de http://Burladero.tv Diario Digital de Información Taurina</t>
  </si>
  <si>
    <t>http://www.burladero.tv</t>
  </si>
  <si>
    <t>#LaIGUALDAD NosAMPARAcomo COLECTIVO LGBTIQ+🌈 DIVERSO y PLURAL #SonDerechosHumanos #NoNosVamosAMEDRENTAR PorUn TIPEJO @Santi_ABASCAL y sus #LEGIONARIOS @vox_es e igual de CRITICOSconLa Izquierda Pacata de @carmencalvo_ y #MinistrasDeJUSTICIAySANIDAD anteLosNUEVOS #RetosNoCalles</t>
  </si>
  <si>
    <t>https://pbs.twimg.com/media/DtzX7axWkAAs1wI.jpg</t>
  </si>
  <si>
    <t>NachoNo&amp;DO🇪🇸</t>
  </si>
  <si>
    <t>Siguen atacando a VOX como la ultraderecha fascista , el mensaje de @Ortega_Smith esta bien claro . SOBERANISTA, una única soberanía en España . @vox_es @Santi_ABASCAL @FSerranoCastro @VOXSevilla</t>
  </si>
  <si>
    <t>https://pbs.twimg.com/media/DtzWscZXcAEreI0.jpg</t>
  </si>
  <si>
    <t>SEVILLA</t>
  </si>
  <si>
    <t>luchando y trabajando día a día , amo a mi país , a mi tierra y a mi gente</t>
  </si>
  <si>
    <t>1 Altercados promovidos por @vox_es @Santi_ABASCAL = 0 2 Altercados violentos de odio promovidos por @PodemosCongreso @MonederoJC = varios diarios. @elprogramadear #AR07D</t>
  </si>
  <si>
    <t>Delegación Gobierno en Tabarnia</t>
  </si>
  <si>
    <t>Tabarnia: Barcelona+Tarragona</t>
  </si>
  <si>
    <t>Delegación Gobierno de España en la C.A. de Tabarnia 🇪🇸+=+=🇪🇸 La Primera C.A. española del Siglo XXI. #Tabarnia en el corazón</t>
  </si>
  <si>
    <t>en los silencios</t>
  </si>
  <si>
    <t>Santiago Abascal en estado puro: sus peores frases</t>
  </si>
  <si>
    <t>https://www.huffingtonpost.es/2018/12/03/santi-abascal-en-estado-puro-sus-peores-frases_a_23606746/?ncid=other_twitter_cooo9wqtham&amp;utm_campaign=share_twitter</t>
  </si>
  <si>
    <t>Arriba a la izquierda está el baño de invitad@s y de reinas (y reyes) del drama. ############################### RT no es = ok</t>
  </si>
  <si>
    <t>Hugø</t>
  </si>
  <si>
    <t>Vaya sinvergüenzas sois, como me encuentre con @Santi_ABASCAL por la calle le voy a fusilar yo y a ostias RT @VOXSevilla: Aquí los amantes de la libertad de expresión...eso sí, solo si piensas como ellos. La última vez que los abuelos de estos "angelitos" cantaron eso del "No pasarán" ya sabéis cómo terminó España. Esperemos que esto no pase de una simple y triste anécdota más. Vía @okdiario</t>
  </si>
  <si>
    <t>https://twitter.com/VOXSevilla/status/1069701653845172224</t>
  </si>
  <si>
    <t>pic.twitter.com/8ve8kDO8zk</t>
  </si>
  <si>
    <t>Arganda del Rey, España</t>
  </si>
  <si>
    <t>EHT A. 🍇 BULLS 🤜🤛 Madrid 📌</t>
  </si>
  <si>
    <t>http://Instagram.com/hugorc22</t>
  </si>
  <si>
    <t>R.D.</t>
  </si>
  <si>
    <t>Alguien lo va a denunciar a los tribunales o les seguimos riendo la gracia??? @vox_es @CiudadanosCs @PPopular @UPYD @Santi_ABASCAL @pablocasado_ @Albert_Rivera @rosadiezglez RT @Tonicanto1: El PSOE balear impone pasar un examen de catalán para ir a la universidad.</t>
  </si>
  <si>
    <t>https://twitter.com/tonicanto1/status/1070592172469170177</t>
  </si>
  <si>
    <t>https://pbs.twimg.com/media/DtuB5zSXcAEIju8.jpg</t>
  </si>
  <si>
    <t>Tatxu 🌈</t>
  </si>
  <si>
    <t>Ayer vi el reportaje #360abascal de @euskaltelebista y creo que debería ser de obligada visión para ver qué clase de personaje es Santi Abascal. Seguro que no se ve ni en @tve_tve ni @antena3com ni @telecincoes ni @laSextaTV Menos mal que @tv3cat sí se atrevió.</t>
  </si>
  <si>
    <t>De Bilbao, pero vivo en Barcelona. Me han dicho que es aquí lo de las risas, ¿no?</t>
  </si>
  <si>
    <t>Txomin Gara</t>
  </si>
  <si>
    <t>Estos son los constitucionalistas humanos, no como @Santi_ABASCAL que ni es humano ni Constitucionalista, según @pedroj_ramirez RT @arturelpayaso2: Radicales independentistas, los amigos de Quim Torra y Puigdemont, agreden salvajemente a Álvaro de Marichalar, quien tuvo que huir para no ser linchado. Cataluña está en guerra, y quien no lo vea, que se lo haga mirar.</t>
  </si>
  <si>
    <t>https://twitter.com/arturelpayaso2/status/1070703901127651329</t>
  </si>
  <si>
    <t>pic.twitter.com/20yF6WPkHy</t>
  </si>
  <si>
    <t>DIALOGUÍN 💯</t>
  </si>
  <si>
    <t>El fascista @Santi_ABASCAL en su juventud, disfrutando sin contratiempos en la Universidad El socialdemócrata escandinavo @Pablo_Iglesias_ en su juventud, siendo oprimido y amenazado por el fascismo, en la Universidad</t>
  </si>
  <si>
    <t>https://pbs.twimg.com/media/DtzRqlgW4AAHvCm.jpg</t>
  </si>
  <si>
    <t>#DIALOGONOTICIAS</t>
  </si>
  <si>
    <t>ZP normalizó la palabra #Diálogo,un instrumento conciliador pero,limitado frente a posiciones radicales, y la convirtió demagógicamente en sinónimo de Solución</t>
  </si>
  <si>
    <t>ANDREA</t>
  </si>
  <si>
    <t>Canal Sur ni tocarlo, tenéis que hacer cosas útiles, gilipolleces no. @Santi_ABASCAL</t>
  </si>
  <si>
    <t>JC</t>
  </si>
  <si>
    <t>Para Rajoy la aparición de VOX es un "lio" tambien lo era para el aplicar la ley y el 155 en Cataluña. Con la legalidad 🇪🇸 @vox_es @voxnoticias_es @ivanedl @Santi_ABASCAL @Ortega_Smith</t>
  </si>
  <si>
    <t>https://pbs.twimg.com/media/DtzP79vWkAA6vga.jpg</t>
  </si>
  <si>
    <t>Hombre,Español y orgulloso 🇪🇸profesional IT y politologo, ,Gramscista de derecha,catolico,deportista,madridista y politicamente incorrecto.</t>
  </si>
  <si>
    <t>Gus el Sucio</t>
  </si>
  <si>
    <t>Para @pablocasado_ @Santi_ABASCAL y Albert Rivera que me tiene bloqueado. Ya sabéis...primero los de aquí,¿verdad?</t>
  </si>
  <si>
    <t>https://pbs.twimg.com/media/DtzPqqiWoAAAGMR.jpg</t>
  </si>
  <si>
    <t>Soy el hijo de quien no pudieron callar.</t>
  </si>
  <si>
    <t>icu #SomosDe2A</t>
  </si>
  <si>
    <t>Si a @Santi_ABASCAL no consiguió amedrentarlo ETA ni los abertzales, no van a hacerlo unos niñatos aprendices de bolchevique que juegan a hacer la revolución. Vuestro odio le da fuerza</t>
  </si>
  <si>
    <t>Murciano por suerte y murcianista hasta la muerte. Orgulloso socio del @realmurciacfsad por la peña @regiongrana</t>
  </si>
  <si>
    <t>http://hablandodelrealmurcia.blogspot.com.es/</t>
  </si>
  <si>
    <t>María Duplá</t>
  </si>
  <si>
    <t>Miren con atención la grosera manipulación y el odio del periódico @elespanolcom. Según ellos no hay que humanizar a @Santi_ABASCAL porque es un monstruo inhumano o un animal, machista y xenófobo. No tienen vergüenza? Tanta grosería en la manipulación empieza a ser canallesco</t>
  </si>
  <si>
    <t>https://pbs.twimg.com/media/DtzOOmfWkAE2oiq.jpg</t>
  </si>
  <si>
    <t>Estudiosa de la lógica progre; intento acercarla al público de derechas para que la entienda mejor. Teleco. Liberal. La verdad sobre la ideología, aunque duela.</t>
  </si>
  <si>
    <t>MONICA CEIDE</t>
  </si>
  <si>
    <t>Para empezar Vox no tiene apenas presencia en Galicia,en Andalucía tenía @Santi_ABASCAL pídele a los Reyes que te traigan un poquito de humildad que buena falta te hace @PPopular @FeijooGalicia</t>
  </si>
  <si>
    <t>https://pbs.twimg.com/media/DtzN8lNW4AEw3vo.jpg</t>
  </si>
  <si>
    <t>Lugo, España</t>
  </si>
  <si>
    <t>PARTICIPANTE REALLITY CASADOS A PRIMERA VISTA/PORTADA INTERVIU FEBRERO 2016/PARTICIPANTE DE ESCUELA DE PASTORES RTPA</t>
  </si>
  <si>
    <t>@A.A.💪❤💛❤💪</t>
  </si>
  <si>
    <t>Me pregunto cual seria la reaccion de los medios @sextaNoticias @A3Noticias @telediario_tve si @Santi_ABASCAL tambien llamara a salir a la calle a frenar a la izquierda nazi...seria de extrema derecha verda? Deverian de pagar los daños de los disturbios iglesias y torra con Cdr</t>
  </si>
  <si>
    <t>Recreadicto...de VOX..ESPAÑOL Y ORGULLOSO DE SERLO..Los q vais de politicamente correctos...Dais asco...VIVA ESPAÑA Y SU REY !!!</t>
  </si>
  <si>
    <t>Persona de bien</t>
  </si>
  <si>
    <t>Lo que no dice nadie es que @Santi_ABASCAL fue concejal en el País Vasco y estuvo amenazado por eta, fue una de esas personas de bien que hicieron frente al terrorismo teniéndolo todo en contra, y gracias a las cuales hoy día somos una sociedad más libre!</t>
  </si>
  <si>
    <t>https://www.youtube.com/watch?v=oIMxo0mWe0Q</t>
  </si>
  <si>
    <t>La maldad solo se propaga cuando las personas de bien no hacen nada. Y ya es hora de que las persona de bien dejemos de estar calladas!</t>
  </si>
  <si>
    <t>Javier Lacambra</t>
  </si>
  <si>
    <t>A la derecha de @Santi_ABASCAL hay mucho espacio y si no fijénse en el caso húngaro... ¡Cuidado! Hay una extrema derecha racista, intervencionista y totalitaria que aspira a salir a flote y @vox_es su principal dique de contención.</t>
  </si>
  <si>
    <t>Zaragoza. España.</t>
  </si>
  <si>
    <t>Nací el último 18 de julio festivo. Hijo del clasicismo grecorromano, la tradición judeocristiana y las revoluciones liberales.</t>
  </si>
  <si>
    <t>P. Rojo Barreno</t>
  </si>
  <si>
    <t>No la conocía pero ayer me la mandaron por WhatsApp. Pablo, el infierno mismo, por @Santi_ABASCAL  vía @libertaddigital</t>
  </si>
  <si>
    <t>Tambien confieso que he vivido y no me ha ido del todo mal</t>
  </si>
  <si>
    <t>http://hallando-y-repasando.com/</t>
  </si>
  <si>
    <t>F. Franco Bahamonde</t>
  </si>
  <si>
    <t>Santiago Abascal, un fenómeno politico-social @Santi_ABASCAL @vox_es</t>
  </si>
  <si>
    <t>pic.twitter.com/LdMwIcYDXz</t>
  </si>
  <si>
    <t>Pontevedra, Galicia</t>
  </si>
  <si>
    <t>A quien le joda, enemigo de populistas, progres y falsos socialistos. No me gusta tanta extrema izquierda, tanta feminazi ni tanta mediocridad.</t>
  </si>
  <si>
    <t>Sergio in London</t>
  </si>
  <si>
    <t>Tengo menos ganas de trabajar que @Santi_ABASCAL</t>
  </si>
  <si>
    <t>Sergio Recuero's twitter account.</t>
  </si>
  <si>
    <t>Triple_FFF</t>
  </si>
  <si>
    <t>VAYAN SABIÉNDOLO: Lo nunca contado de la ‘íntima’ amistad entre @Albert_Rivera y @Santi_ABASCAL via @El_Plural</t>
  </si>
  <si>
    <t>https://www.elplural.com/politica/lo-nunca-contado-de-la-intima-amistad-entre-albert-rivera-y-santiago-abascal_207666102</t>
  </si>
  <si>
    <t>Frescor Fraterno Facilitado</t>
  </si>
  <si>
    <t>Diario Balear</t>
  </si>
  <si>
    <t>👉🏻El PSOE provoca que los españoles no confíen en las instituciones para resolver los problemas  @ERIKEO5555 @angelmigeva @Tonicanto1 @Albert_Rivera @Santi_ABASCAL @gsampolfer @MMContesti @AzraVox @paatri_guerrero @AntoniCamps @xpericay</t>
  </si>
  <si>
    <t>https://www.diaribalear.es/el-psoe-provoca-que-los-espanoles-no-confien-en-las-instituciones-para-resolver-los-problemas/</t>
  </si>
  <si>
    <t>Palma de Mallorca</t>
  </si>
  <si>
    <t>Somos diferentes, somos de aquí</t>
  </si>
  <si>
    <t>https://www.diaribalear.es</t>
  </si>
  <si>
    <t>REPÚBLICA CATALANA🎗</t>
  </si>
  <si>
    <t>Santi Abascal no ni fascista ni franquista y para muestra un botón. 👇👇👇👇👇 RT @danierdecai35: Santi Abascal susurrándole a Franco que él no es de extrema derecha.</t>
  </si>
  <si>
    <t>Barcelona, Catalunya</t>
  </si>
  <si>
    <t>Lo único que se necesita para que el mal triunfe es que los hombres buenos no hagan nada. 🕊 EL FEIXISME MAI DORM, ELS ANTIFEIXISTES TAMPOC.🌿Jo sóc CDR.</t>
  </si>
  <si>
    <t>BofaroulfoFO</t>
  </si>
  <si>
    <t>Si @Santi_ABASCAL es como Torrente @pnique es como ...... vamos chavales echarle imaginación, RT @pnique: Abascal es como Torrente. Da risa... hasta que te imaginas a Torrente en un parlamento o en un gobierno... y entonces da miedo.</t>
  </si>
  <si>
    <t>I believe in me , Yoko and me</t>
  </si>
  <si>
    <t>🇪🇸Inmaculada G.Cosio‏ن🇪🇸</t>
  </si>
  <si>
    <t>Si esto es la extrema derecha pues vale, yo quiero esto. Santi Abascal con Jordi, follonero, en el bar de Salvador Monedero  vía @YouTube</t>
  </si>
  <si>
    <t>https://youtu.be/vCzgGgIgofk</t>
  </si>
  <si>
    <t>Ceuta, España</t>
  </si>
  <si>
    <t>Caballa. Esposa y Madre. Músico.Taurina.Feliz.«Para que triunfe el mal, sólo es necesario que los buenos no hagan nada»Edmund Burke.</t>
  </si>
  <si>
    <t>joan ferrer</t>
  </si>
  <si>
    <t>No es fascistas ni franquista @Santi_ABASCAL ni NAZIsta ni tejero ni blas piñar ni hdp ni ... RT @danierdecai35: Santi Abascal susurrándole a Franco que él no es de extrema derecha.</t>
  </si>
  <si>
    <t>l'hospitalet de llobregat</t>
  </si>
  <si>
    <t>Hipocresía Caviar</t>
  </si>
  <si>
    <t>La izquierda etarra cual nazis atacaron a la familia de @Santi_ABASCAL por defender la libertad en el pais vasco. Esos terroristas son los socios de @sanchezcastejon en el poder. Que quede claro, @vox_es es un partido que defiende las libertades de todos en España RT @daniel_portero: Este es @Santi_ABASCAL . Los que hemos sufrido por @ehbildu_herriak ETA y sus cómplices @eajpnv @ahorapodemos sabemos lo que es resistir el insulto y q te llamen facha o de “extrema derecha”. Dignidad y Justicia también es de “extrema necesidad”</t>
  </si>
  <si>
    <t>https://twitter.com/daniel_portero/status/1070731813159612417</t>
  </si>
  <si>
    <t>pic.twitter.com/I6sNtMichv</t>
  </si>
  <si>
    <t>Destapando la falsa moral caviar</t>
  </si>
  <si>
    <t>𝕽𝖆𝖉𝖎𝖔 𝕻𝖔𝖑𝖑𝖆 𝕱𝖒 ℹ</t>
  </si>
  <si>
    <t>Ya mismo tuitea que Santi Abascal es un hombre de paz con pelazo en pecho. RT @BeatrizTalegon: Los mossos desatados. Exceso de violencia por su parte. Sin duda. Y algunos supuestos antifascistas lanzando objetos y actuando de manera violenta. Pocos. Pero los hay. Y si no condenamos las dos cosas, mal vamos. Hay maneras más interesantes de combatir al fascismo.</t>
  </si>
  <si>
    <t>https://twitter.com/BeatrizTalegon/status/1070766608413589509</t>
  </si>
  <si>
    <t>𝕴𝖓𝖉𝖊𝖕𝖊𝖓𝖉𝖊𝖓𝖈𝖎𝖆 &amp; 𝖍𝖚𝖒𝖔𝖗, 𝕾𝖎 𝖒𝖊 𝖘𝖎𝖌𝖚𝖊𝖘 𝖊𝖘 𝖇𝖆𝖏𝖔 𝖙𝖚 𝖗𝖊𝖘𝖕𝖔𝖓𝖘𝖆𝖇𝖎𝖑𝖎𝖉𝖆𝖉.</t>
  </si>
  <si>
    <t>A echeminga se le han fundido hasta los plomos de la batería de su silla. @pnique @Santi_ABASCAL @vox_es @JosPastr. No se cansan de hacer el ridículo?</t>
  </si>
  <si>
    <t>pic.twitter.com/QvEbc7Ppex</t>
  </si>
  <si>
    <t>Hermann Tertsch</t>
  </si>
  <si>
    <t>Muy cierto. @Santi_ABASCAL va a tener una lista larga de personajes a los que denunciar y exigir responsabilidades políticas, civiles o incluso penales por las agresiones que puedan sufrir él, su familia, sus colaboradores y miembros del partido. RT @Jon_GoRo: @FrayJosepho @elespanolcom Interesante descubrir que El Español no considera humano a @Santi_ABASCAL. Quizás este debiera incluir a @pedroj_ramirez entre los responsables de posibles agresiones, pues es bien sabido que la deshumanización del adversario suele ser la antesala de la violencia.</t>
  </si>
  <si>
    <t>https://twitter.com/jon_goro/status/1070789470293770240</t>
  </si>
  <si>
    <t>Periodista, ABC. Siempre razonablemente estupefacto.</t>
  </si>
  <si>
    <t>El podemita Echenique compara a Santi Abascal son 'Torrente' y las redes lo fulminan</t>
  </si>
  <si>
    <t>Ché Qué Vara</t>
  </si>
  <si>
    <t>Joder con los fascistas @Santi_ABASCAL</t>
  </si>
  <si>
    <t>https://pbs.twimg.com/media/DtzAAHIWoAAdIqv.jpg</t>
  </si>
  <si>
    <t>Camarada-Comandante. Rojo maranello. Mi reservado en la Bodeguita del Medio. Revolussiooonnario y del Habana Fúlbol Clú. Crítica. Parodia</t>
  </si>
  <si>
    <t>Luego se extrañan y ponen las manos a la cabeza porque @Santi_ABASCAL diga que lleva pistola... Viendo el panorama poca defensa me parece a mi que lleve encima... RT @MuyLiberal: El podemita que dice que va a salir a "matar fascistas" se fotografía con Teresa Rodríguez</t>
  </si>
  <si>
    <t>https://twitter.com/MuyLiberal/status/1070932376228904960
https://okdiario.com/espana/andalucia/2018/12/07/podemita-que-dice-que-va-salir-matar-fascistas-fotografia-teresa-rodriguez-3437549#.XAoXFhJBq6c.twitter</t>
  </si>
  <si>
    <t>Leonardo</t>
  </si>
  <si>
    <t>Honorable defensor de España, @Santi_ABASCAL. No cabe dudas, @vox_es es la esperanza para las familias españolas. 💚 RT @vox_es: 📺 ¿Es VOX un partido inconstitucional? @Santi_ABASCAL responde en dos minutos a @anarosaq en @elprogramadear #40AñosDeConstitución #DíaDeLaConstitución</t>
  </si>
  <si>
    <t>United States</t>
  </si>
  <si>
    <t>Libertario - IT Consultant &amp; Computer Science - Surfer &amp; Skater. Miembro de @rumbo_libertad 🗽</t>
  </si>
  <si>
    <t>http://rumbolibertad.org</t>
  </si>
  <si>
    <t>Los 20 tuits más RTs de @krls @gabrielrufian @gallifantes @jorditurull @marianorajoy @joninarritu @miriamnoguerasm @dbravo @agarzon @quimforn @tonicanto1 @joseprull @albert_rivera @santi_abascal @rosadiezglez @quimtorraipla el jueves 6 de diciembre</t>
  </si>
  <si>
    <t>https://twitter.com/trendinaliaES/timelines/1070923028555431936</t>
  </si>
  <si>
    <t>VOX Velilla</t>
  </si>
  <si>
    <t>No hay que "humanizar" a @Santi_ABASCAL. OJO A ESTE TITULAR de @elespanolcom de @pedroj_ramirez , el naranjito que está a muerte con Ciudadanos. Una deriva bolchevique más contra @vox_es y sus votantes. Lamentable.</t>
  </si>
  <si>
    <t>https://pbs.twimg.com/media/Dty3ocAWsAAEkF8.jpg</t>
  </si>
  <si>
    <t>Velilla de San Antonio, España</t>
  </si>
  <si>
    <t>Cuenta Oficial de VOX Velilla de San Antonio, el partido que gestiona con valores y principios.</t>
  </si>
  <si>
    <t>https://www.voxespana.es/</t>
  </si>
  <si>
    <t>Dr. Estranyamor</t>
  </si>
  <si>
    <t>Grande @Santi_ABASCAL que se encuentra con @pnique y lejos de encararse con el por todas las barbaridades que dice, le ofrece la mano como un buen caballero español...</t>
  </si>
  <si>
    <t>https://pbs.twimg.com/media/DtyzcgBWsAE0WdI.jpg</t>
  </si>
  <si>
    <t>War Room, L'Esquirol (Osona)</t>
  </si>
  <si>
    <t>Former German and US agencies adviser. Now helping the provisional new republic of Catalunya to develop its nuke program only for pacific and smiling purposes.</t>
  </si>
  <si>
    <t>Dicen: “som gent de pau: Somos gente de paz” gritan las hordas, y los que se ponen de perfil? Pues bien arrieros somos. Nuestras armas la Ley, la Histora, el Sentido Común y la bandera de la libertad @vox_es @Santi_ABASCAL RT @arturelpayaso2: Radicales independentistas, los amigos de Quim Torra y Puigdemont, agreden salvajemente a Álvaro de Marichalar, quien tuvo que huir para no ser linchado. Cataluña está en guerra, y quien no lo vea, que se lo haga mirar.</t>
  </si>
  <si>
    <t>aikitwiter</t>
  </si>
  <si>
    <t>Estaremos atentos a las acciones de @Santi_ABASCAL y de @vox_es . Pero de momento parece que son lo único digno de votar.</t>
  </si>
  <si>
    <t>https://pbs.twimg.com/media/Dtyu-zkW0AUt6qx.jpg</t>
  </si>
  <si>
    <t>Tierra</t>
  </si>
  <si>
    <t>Libre pensador. ¡Que nuestro silencio no se convierta en enemigo!</t>
  </si>
  <si>
    <t>CharlieBrown</t>
  </si>
  <si>
    <t>Sinceramente me importa un bledo que @Santi_ABASCAL se ofenda si le dicen que el jamón es cerdo muerto. A ver si ahora va a obligarnos a dejar de llamar las cosas por su nombre.</t>
  </si>
  <si>
    <t>✊🏽🌱</t>
  </si>
  <si>
    <t>Cada día que el gobierno (con minúsculas) propone medidas que dilapidan el patrimonio de los españoles a los exprimen, nace un 'facha' que vota a #VOX Sigan así que dentro de poco van a ver lo que le sucedió a la UCD. @Santi_ABASCAL @hermanntertsch @CristinaSegui_ @carloscuestaEM RT @Bilbaina27: El Gobierno pagará la universidad a los estudiantes marroquíes. Señor @sanchezcastejon los españoles trabajando como esclavos para que nuestros hijos vayan a la universidad y usted (con nuestro dinero) se la paga a los marroquíes??  via @MediterraneoDGT</t>
  </si>
  <si>
    <t>https://twitter.com/Bilbaina27/status/1070405724969295874
https://www.mediterraneodigital.com/espana/internacional/el-gobierno-pagara-la-universidad-a-los-estudiantes-marroquies.html</t>
  </si>
  <si>
    <t>EXTREMO DERECHO EXTREMO</t>
  </si>
  <si>
    <t>Están los évoles y los ferreras que echan humo. Preparando programas para atacarlos. No toleran que no se plieguen a concederles entrevistas, acreditaciones... Les han declarado la guerra. Todo mi apoyo para @Santi_ABASCAL y el resto de @vox_es . Gracias por librarnos de ellos. RT @CastigadorY: En la mayoría de países dónde se ha intentado instaurar el comunismo se ha conseguido, por eso la izquierda está tan rabiosa con los que votamos a la derecha en España, porque a pesar de que tienen el aparato mediático a favor y manipulan no nos dejamos engañar, nunca lo haremos.</t>
  </si>
  <si>
    <t>https://twitter.com/CastigadorY/status/1070818127234195458</t>
  </si>
  <si>
    <t>ESPAÑOL 🇪🇸 MADRIDISTA 🏆 Mourinho-zidanista; los principios de Mou, los métodos de Zizou.</t>
  </si>
  <si>
    <t>http://www.tabarnia.es</t>
  </si>
  <si>
    <t>SE RESISTE TODAVÍA A ACEPTAR LA NUEVA REALIDAD Casado aspira a un "pacto global" con Cs, al que después se una VOX, por @montesinospablo  vía @libertaddigital @Santi_ABASCAL @monasterioR @CasaReal @GeneralDavila @Ortega_Smith @GirautaOficial @ivanedlm</t>
  </si>
  <si>
    <t>https://www.libertaddigital.com/espana/politica/2018-12-06/casado-abre-ya-la-negociacion-con-rivera-sobre-andalucia-el-objetivo-pacto-global-antes-del-27d-1276629490/</t>
  </si>
  <si>
    <t>Yolanda🇪🇸</t>
  </si>
  <si>
    <t>Bonita estampa para enseñar a tus hijos quiénes son los demócratas-hombres de paz que luchan contra los peligrosos fascistas. @Santi_ABASCAL @FSerranoCastro @Ortega_Smith @vox_es RT @Bcnisnotcat_: ¡¡ATENCIÓN!! Pedimos ayuda a toda #España. Los separatistas están provocando altercados en toda Cataluña. Han escogido el día de la Constitución para tomar las calles. Los medios lo silencian. Ya no podemos más. EXIJIMOS QUE SE APLIQUE EL ARTÍCULO 155. A qué espera el presidente?</t>
  </si>
  <si>
    <t>El impuesto de Sucesiones expolia a miles de familias al año en toda España. Nos EXPROPIAN nuestras casas y negocios para subastarlos. ¡¡Es un CRIMEN!!</t>
  </si>
  <si>
    <t>HELEN ن✌️</t>
  </si>
  <si>
    <t>Las próximas @EleccionesGenerales las va a ganar #Vox por goleada. Pronostico que @Santi_ABASCAL va a arrasar en las 17 Regiones de 🇪🇸🇪🇸🇪🇸🇪🇸🇪🇸🇪🇸🇪🇸🇪🇸🇪🇸🇪🇸🇪🇸🇪🇸🇪🇸🇪🇸🇪🇸🇪🇸🇪🇸</t>
  </si>
  <si>
    <t>https://pbs.twimg.com/media/DtyCpUeWwAApdrT.png</t>
  </si>
  <si>
    <t>“Una papeleta de voto es más fuerte que una bala de fusil.”  -Abraham Lincoln-</t>
  </si>
  <si>
    <t>Católica ✝️ practicante. NO al aborto NO a la eutanasia. SÍ a la vida. Simpatizante de #Vox 🇪🇸 Por lo tanto...FACHA, FACHA y mil veces FACHA!!! #EleccionesYa</t>
  </si>
  <si>
    <t>Alex</t>
  </si>
  <si>
    <t>Este es Santi Abascal RT @m_pais: "Empecé a alejarme cuando María San Gil chocó con Rajoy en el año 2008. Esa gota empezó a llenar el vaso y el vaso se acabó desbordando", dice Abascal. Para ser exactos desbordó en 2013, cuando se quedó sin sueldo público de la CAM</t>
  </si>
  <si>
    <t>https://twitter.com/m_pais/status/1070238895248433152
https://maldita.es/malditodato/cuando-abascal-cobraba-mas-que-el-presidente-del-gobierno-por-cargos-a-dedo-pagados-con-dinero-publico/</t>
  </si>
  <si>
    <t>Hugo González Castro</t>
  </si>
  <si>
    <t>Persigue tus sueños para despertar.</t>
  </si>
  <si>
    <t>☃️Winter Casterly❄</t>
  </si>
  <si>
    <t>No puedo esperar al 2020 para que Santi Abascal y su ejército de supersoldados latinos tomen Madrid y comiencen a decapitar mujeres y minorías. Finalmente, los gamers tendremos nuestra venganza.</t>
  </si>
  <si>
    <t>Principality of Lemoyne-Guarma</t>
  </si>
  <si>
    <t>good galician soft boy give me headpats</t>
  </si>
  <si>
    <t>Manstein</t>
  </si>
  <si>
    <t>.@Pablo_Iglesias_ @Santi_ABASCAL curioso @ipeutrera @ValleToca RT @LibertadTV_: Veamos si @vox_es comparte o no las principales medidas económicas de Le Pen.</t>
  </si>
  <si>
    <t>https://twitter.com/libertadtv_/status/1070303678463119360</t>
  </si>
  <si>
    <t>https://pbs.twimg.com/media/Dtp7hGmW0AACW4H.jpg</t>
  </si>
  <si>
    <t>Valencia</t>
  </si>
  <si>
    <t>Español🇪🇸🇪🇸🇪🇸🇪🇸🇪🇸</t>
  </si>
  <si>
    <t>Señorita Botwin</t>
  </si>
  <si>
    <t>Me siento mal, porque Santi Abascal me resulta tan jodídamente ridículo hablando de “reconquista” con sus facciones de almorávide, que no logro preocuparme porque tenga representación política</t>
  </si>
  <si>
    <t>Valladolid, Castilla y León</t>
  </si>
  <si>
    <t>Escucho música, me llevo bien con los Piscis, no leo best-sellers ni reniego de McLuhan.</t>
  </si>
  <si>
    <t>http://www.pinterest.com/sitacros/</t>
  </si>
  <si>
    <t>Gem</t>
  </si>
  <si>
    <t>Político ultraderechista no permitirá el acceso en sus intervenciones a medios de comunicación que sean capaces de criticarle.... Donald Trump, ¿eres tú? Ah no calla, que es @Santi_ABASCAL</t>
  </si>
  <si>
    <t>Leganés, Madrid</t>
  </si>
  <si>
    <t>🗣 Periodismo Urjc W ♀</t>
  </si>
  <si>
    <t>Alba Artero Agudo</t>
  </si>
  <si>
    <t>Madre mía QUÉ ASCO DE HOMBRE. Eres basura @Santi_ABASCAL RT @FormulaTV: Santiago Abascal, a Ana Rosa Quintana: 'Quiero una ley que proteja a mis hijos de denuncias falsas de desaprensivas'</t>
  </si>
  <si>
    <t>https://twitter.com/formulatv/status/1070818928048377856
https://frml.tv/86696</t>
  </si>
  <si>
    <t>https://pbs.twimg.com/media/DtxQI2KXQAAccHc.jpg</t>
  </si>
  <si>
    <t>http://www.instagram.com/microarte_ Escribo, me gusta Iron Man y lloro con las películas infantiles</t>
  </si>
  <si>
    <t>http://Instagram.com/microarte_</t>
  </si>
  <si>
    <t>Rubén Raedo Santos</t>
  </si>
  <si>
    <t>Ha visto, Don Santiago @Santi_ABASCAL? Su fama trasciende a ambos lados del Atlántico!! Y me alegra!! RT @vanesavallejo3:</t>
  </si>
  <si>
    <t>https://twitter.com/vanesavallejo3/status/1070822698958422016</t>
  </si>
  <si>
    <t>https://pbs.twimg.com/media/DtxTkOoWwAAZP7Z.jpg</t>
  </si>
  <si>
    <t>Buena Persona, Economista, Master en Desarrollo Económico y próximamente Doctor. Político e historiador de vocación.</t>
  </si>
  <si>
    <t>En las próximas elecciones generales VOX será la clave para aplicar el 155 y limpiar la mugre golpista en Cataluña. España podrá ser rota por una chusma cobarde. @FJL_EsRadio @monasterioR @Santi_ABASCAL VIVA VOX VOTO VOX POR UNA ESPAÑA VIVA SIN TRAIDORES Y SIN COMUNISTAS.</t>
  </si>
  <si>
    <t>Âdrįęń Loðbrók</t>
  </si>
  <si>
    <t>Oye @Santi_ABASCAL dónde te pillas los trajes bro que me mola tu outfit</t>
  </si>
  <si>
    <t>Siberia</t>
  </si>
  <si>
    <t>Descendiente directo de Odín e hijo de Ragnar Lodbrok</t>
  </si>
  <si>
    <t>El problema más urgente en España no es sacar a Franco del Valle de los Caídos sino sacar a los separatistas enemigos de España del parlamento en Cataluña. @FJL_EsRadio @monasterioR @Santi_ABASCAL @Ortega_Smith VIVA VOX VOTO VOX POR UNA ESPAÑA VIVA SIN TRAIDORES Y SIN COMUNISTAS</t>
  </si>
  <si>
    <t>#vox mitando la #democracia todos los #Fascistas españoles @Santi_ABASCAL @Albert_Rivera @pablocasado_ los mismos #machista con distintos collares #SiSePuede parar a la #ultraderecha</t>
  </si>
  <si>
    <t>https://pbs.twimg.com/media/DtxhmaiWoAATUUf.jpg</t>
  </si>
  <si>
    <t>El-Patriota FACHA</t>
  </si>
  <si>
    <t>La carta que los etarras enviaron a @Santi_ABASCAL, recordemos que son los mismos que ahora apoyan al Okupa y los amigos del chepas de la coleta y el telepredicador de la secta.</t>
  </si>
  <si>
    <t>https://twitter.com/El_patriotaESP/status/1070837068773974016/photo/1</t>
  </si>
  <si>
    <t>https://pbs.twimg.com/media/Dtxg2GWWsAAvv2-.jpg</t>
  </si>
  <si>
    <t>Un patriota, ex-Legionario Paracaidista, con mi país y bandera en mi corazón, detesto a los separatistas, proetarras y comunistas.</t>
  </si>
  <si>
    <t>https://www.youtube.com/watch?v=QlH5N_sghGI</t>
  </si>
  <si>
    <t>José Augusto Domínguez</t>
  </si>
  <si>
    <t>.@Santi_ABASCAL, fascista. @ArnaldoOtegi, demócrata y héroe de @jordievole, @laSextaTV y compañía.</t>
  </si>
  <si>
    <t>https://pbs.twimg.com/media/Dtxgaz2WoAA3EiK.jpg</t>
  </si>
  <si>
    <t>Escuela Austriaca. Centro de Estudios Superiores OMMA. Instituto Juan de Mariana.</t>
  </si>
  <si>
    <t>https://www.juandemariana.org/el-ijm/personal/jose-augusto-dominguez</t>
  </si>
  <si>
    <t>VivaBach</t>
  </si>
  <si>
    <t>Estupenda rueda de prensa de @Santi_ABASCAL que me imagino que ya todos habréis visto.</t>
  </si>
  <si>
    <t>https://youtu.be/KjYLtOTF2h0</t>
  </si>
  <si>
    <t>Madrid, Spain.</t>
  </si>
  <si>
    <t>Pro Trump, hasta los cojones del Islam. Me encanta España, me chifla Bach. Tras las elecciones andaluzas, ya no me aburre la política española.</t>
  </si>
  <si>
    <t>Andrea Perrone</t>
  </si>
  <si>
    <t>Aquí está la policía de la VOX golpeando ancianos @MiquelBuch vete ya a con @Santi_ABASCAL y casaros.</t>
  </si>
  <si>
    <t>pic.twitter.com/C3ANtKQI5e</t>
  </si>
  <si>
    <t xml:space="preserve">Pais vasco </t>
  </si>
  <si>
    <t>Han perdut la batalla cultural 🎗</t>
  </si>
  <si>
    <t>Blanca Orellana VERDE</t>
  </si>
  <si>
    <t>.@Santi_ABASCAL @Ortega_Smith @monasterioR @vox_es pueden recurrir a un asesor infinitamente mejor q Iván Redondo e infinitamente comprometido en la lucha contra el chavismo @JJRENDON Vean sus vídeos en YouTube RT @JorgeBustos1: Sospecho este plan: convocar en marzo generales tras el aniversario -convenientemente explotado- de la gran movilización del 8-M, fiándolo todo al “Gobierno más feminista de la historia”. Sin Presupuestos, usar el lazo rosa como gran reclamo electoral. Encajaría en el estilo Iván</t>
  </si>
  <si>
    <t>https://twitter.com/JorgeBustos1/status/1070758302529830914
https://twitter.com/sanchezcastejon/status/1070736196228317184</t>
  </si>
  <si>
    <t>La realidad</t>
  </si>
  <si>
    <t>Pienso luego existo. No a la pereza mental. I tweet in english, español, und auf deutsch. #DDHH #ComunismoAsesinoYMentiroso</t>
  </si>
  <si>
    <t>http://www.slideshare.net/ClaraAlbaida/edit_my_uploads</t>
  </si>
  <si>
    <t>Lo que tengo claro es que sobre Santi Abascal no hay ningún dossier de ser así PedroJ que es inteligente no haría ese estúpido ridículo 😉 RT @doguionrego: @Mayeutico11 @Santi_ABASCAL @elespanolcom @pedroj_ramirez @jordievole Porque con las cartas no lo consiguieron los hombres de paz 🙌</t>
  </si>
  <si>
    <t>https://twitter.com/doguionrego/status/1070829257797103616</t>
  </si>
  <si>
    <t>https://pbs.twimg.com/media/DtxZiFuXcAEapST.jpg</t>
  </si>
  <si>
    <t>Didac</t>
  </si>
  <si>
    <t>👉Me apunto a la propuesta de mi amigo @ValoresBaleares: Se debe proteger más a Felipe VI: “Somos leales al Rey! Ya que su labor es extraordinaria”. Y tú qué? @mosmovem @SCBalear @CiudadanoJRoig @ANDRES_CANO42 @AbeInfanzon @Santi_ABASCAL @Albert_Rivera @pablocasado_ @1ACUARIOA</t>
  </si>
  <si>
    <t>https://pbs.twimg.com/media/DtxaQ2tWwAAtvV_.jpg</t>
  </si>
  <si>
    <t>ABRIENDO DIÁLOGOS</t>
  </si>
  <si>
    <t>📢 Prometimos que los andaluces harían historia con nosotros y nosotros sí cumplimos lo que prometemos 💪🇪🇸  #AndaluciaPorEspaña #EspanaViva @madrid_vox @Santi_ABASCAL</t>
  </si>
  <si>
    <t>https://www.youtube.com/watch?v=o8gr2GyyM34</t>
  </si>
  <si>
    <t>espainiakobeldurrikgabe</t>
  </si>
  <si>
    <t>#BoicotElEspañol a @pedroj_ramirez se le va de las manos su ataque a @vox_es. Animo @Santi_ABASCAL Todavía no saben ni los #comunistas ni los #socialistas el batacazo que se van a dar cuando @sanchezcastejon convoque elecciones #EleccionesGeneralesYa</t>
  </si>
  <si>
    <t>Doliente de la situación actual de #España: separatistas, podemitas, proetarras, moros y políticos mediocres 🇪🇸🇪🇸🇪🇸🇪🇸🇪🇸🇪🇸🇪🇸</t>
  </si>
  <si>
    <t>DE CUETO - SANTANDER</t>
  </si>
  <si>
    <t>No te lo crees ni tú @Santi_ABASCAL ... demuéstralo ... y si tienes razón ... puede que hasta te llame para que me lo mandes por #whatsapp y dé fé ... verdad @Vox_Cantabria ? ... por cierto, nunca he sabido dónde está vuestra sede aquí en #Santander ...</t>
  </si>
  <si>
    <t>https://elpais.com/politica/2018/12/05/actualidad/1544036869_183925.html?id_externo_rsoc=FB_CC&amp;fbclid=IwAR1dDPQvB0PDZrK0z_jbZv3Wuyv_LaYh9TU05Y_Am6MSewHO3qE3enKZLdo</t>
  </si>
  <si>
    <t>Santander, Cantabria - España</t>
  </si>
  <si>
    <t>- LA VOZ DE ESPAÑA - Lealtad, Justicia, Amor, Contundencia y Firmeza. ¡ #ConservadorLiberal ! - SILENCIO/BLOQUEO a #PODEMATAS y TRAIDORES ASQUEROSOS por SISTEMA</t>
  </si>
  <si>
    <t>https://www.facebook.com/josealberto.rodriguezarroyo.9</t>
  </si>
  <si>
    <t>Correti</t>
  </si>
  <si>
    <t>#40AñosDeConstitución Me doy cuenta de que mucha gente no sigue a @Santi_ABASCAL en twitter mientras si comulga con bastantes de sus ideas, perder los complejos! No eres facha ni extremista porque a algunos les interese, abstenerse los insultos,no más silencio #EspañaViva</t>
  </si>
  <si>
    <t>Barcelona, EspaÑÑÑa</t>
  </si>
  <si>
    <t>Llegó el Invierno!</t>
  </si>
  <si>
    <t>Sra.Indignada</t>
  </si>
  <si>
    <t>Gracias @Pablo_Iglesias_ @pnique @MonederoJC @ahorapodemos por hacer que un partido como @vox_es vuelva a estar en un parlamento de España 🇪🇸, sin vuestra ayuda no sería posible. 🇪🇸🇪🇸🇪🇸🇪🇸🇪🇸🇪🇸🇪🇸🇪🇸 @Santi_ABASCAL @vox_es</t>
  </si>
  <si>
    <t>Reino de España</t>
  </si>
  <si>
    <t>Soy una señora muy indignada</t>
  </si>
  <si>
    <t>Juan Alix</t>
  </si>
  <si>
    <t>Dedicado a los fans de Trump... y de Santi Abascal Confounds the Science - (Parody of) Sound of Silence | Don Caron / Linda...  vía @YouTube</t>
  </si>
  <si>
    <t>https://youtu.be/IZDYhQ4UAnA</t>
  </si>
  <si>
    <t>¿Reyes? Ni los de la baraja. Salud y República. Pd/ Hasta el forro de puros y de auténticos.</t>
  </si>
  <si>
    <t>https://youtu.be/u37RF5xKNq8</t>
  </si>
  <si>
    <t>† El Cid †</t>
  </si>
  <si>
    <t>⚔️LA BATALLA FINAL POR ESPAÑA ⚔️: 🇪🇸Santiago Abascal (@Santi_ABASCAL) alias Capitán España VS ☭ Pablenin (@Pablo_Iglesias_) alias Marqués de Galapgar Navas de Tolosa ha vuelto...</t>
  </si>
  <si>
    <t>pic.twitter.com/RQ24059gzP</t>
  </si>
  <si>
    <t>Y habló, como siempre habla, tan justo tan mesurado: “¡Bendito seas, Dios mío, Padre que estás en lo alto! Contra mí tramaron esto mis enemigos malvados”</t>
  </si>
  <si>
    <t>https://www.youtube.com/channel/UCAj-LFssuCq7Lhx7IbIjqBg</t>
  </si>
  <si>
    <t>Este tarado estaba todavía en la Pampa argentina... Es lo que pasa cuando se habla sin tener ni puta idea de este país Lo que no dice es que si @Santi_ABASCAL va armado es porque fue amenazado directamente por sus amigos etarras... sus "hombres de paz"...</t>
  </si>
  <si>
    <t>pic.twitter.com/mU4jPMFSui</t>
  </si>
  <si>
    <t>Me Tenéis Negro</t>
  </si>
  <si>
    <t>Acabo de oír que la semana próxima acaba una serie de A3. Le darán ese espacio para su programa a Santi Abascal? #FeminismoAntifascismo</t>
  </si>
  <si>
    <t>He intentado ser bueno por todos los medios. Esta sociedad te corrompe. O espabilas o te da. Existe otra RS llamada Mastodon donde no censuran. ¿Lo sabías?</t>
  </si>
  <si>
    <t>💕🇪🇸  TITANIA💕🇪🇸</t>
  </si>
  <si>
    <t>Aquí tenéis al Zampa Fachas aspirante a senador y diputado 😂😂😂😂😂😂 #40AñosDeConstitución #DíaDeLaConstitución #ConstitucionEspanola @Santi_ABASCAL @BenemeritosGC @ldpsincomplejos @Anonymus_ES @RACATOL @marubimo @LaRetuerka @LasTaifas @ RT @JesusPellejer: Jose Daniel Soto Vega – Primarias de Podemos al Congreso y Senado</t>
  </si>
  <si>
    <t>https://twitter.com/JesusPellejer/status/1068767152340119552
https://primariascongresoysenado.podemos.info/candidaturas/jose-daniel-soto-vega/</t>
  </si>
  <si>
    <t>España🇪🇸🇪🇸🇪🇸</t>
  </si>
  <si>
    <t>El éxito de una sociedad no es más q el fruto de quién la cuida!!!!💕💕💕</t>
  </si>
  <si>
    <t>Salva Villegas</t>
  </si>
  <si>
    <t>Estará pagando favores. O poniendo publicidad gratis a “unos” y a otros para que la paguen bien con “sus” titulares periodísticos. Y quizás acusando para no ser “acusado”...., de algo. Ya sé sabra. @Santi_ABASCAL RT @Santi_ABASCAL: Una irresponsabilidad de @elespanolcom haciéndole el juego a Podemos, a Bildu y los CDR, que pretenden deshumanizarnos para atacarnos impúnemente. Una verdadera pena @pedroj_ramirez</t>
  </si>
  <si>
    <t>Cartagena - SPAIN</t>
  </si>
  <si>
    <t>Historia - Arqueología - Amo a Mí País, España. Amo a Mí Carthago - ¡Carpe Diem!</t>
  </si>
  <si>
    <t>JFC</t>
  </si>
  <si>
    <t>Granadino universal: "El Jamás Vencido en Batalla" @SanchezJaimez @Juanje03 @teval37 @ManuelVilches2 @Imperio_e @Armada_esp @Ortega_Smith @Santi_ABASCAL @Muriel_Rot RT @31EneroTercios: El próximo 12 de diciembre homenajearemos a don Álvaro de Bazán, héroe olvidado de nuestra historia. Todo el mundo puede sumarse en las redes sociales ¡Vamos a luchar para que #ÁlvarodeBazán sea lo más comentado! ¡SIGUE NUESTRAS CLAVES DE LA IMAGEN ADJUNTADA Y DIFUNDE!</t>
  </si>
  <si>
    <t>https://twitter.com/31EneroTercios/status/1070650736843915264</t>
  </si>
  <si>
    <t>https://pbs.twimg.com/media/Dtu3J4EWkAEsXK8.jpg</t>
  </si>
  <si>
    <t>Entre BCN y GRX</t>
  </si>
  <si>
    <t>Clinical Medical Physicist. Granadino y Español</t>
  </si>
  <si>
    <t>VOX Tetuán con la Constitución española en su 40 aniversario #EspanaViva #ConstitucionEspanola #40AnosConstitucion @madrid_vox @Santi_ABASCAL</t>
  </si>
  <si>
    <t>https://pbs.twimg.com/media/DtxQDzIWoAA6Xzh.jpg</t>
  </si>
  <si>
    <t>Talita Cumi 🇪🇸🇮🇱</t>
  </si>
  <si>
    <t>Ojito que el que pide deshumanizar a @Santi_ABASCAL se pone de ejemplo a sí mismo para las facultades de periodismo 😂😂😂😂 cc @elespanolcom @FrayJosepho RT @juanmafdez: Buen ejemplo para que en las universidades enseñen cómo no se debe hacer una entrevista.</t>
  </si>
  <si>
    <t>https://twitter.com/juanmafdez/status/1070633167000952832
https://twitter.com/bluper/status/1070626401815011329</t>
  </si>
  <si>
    <t>Sobrevolando España</t>
  </si>
  <si>
    <t>Stop Judeocristianofobia</t>
  </si>
  <si>
    <t>Alberto 🐍</t>
  </si>
  <si>
    <t>Matrimonio: definición cc @Santi_ABASCAL</t>
  </si>
  <si>
    <t>https://pbs.twimg.com/media/DtxPGOuWsAAdQam.jpg</t>
  </si>
  <si>
    <t>Libertario, warrier y madridista</t>
  </si>
  <si>
    <t>Epigramero</t>
  </si>
  <si>
    <t>Esto es la prensa en el muy democrático Reino Unido durante la campaña del brexit. Y a @Santi_ABASCAL le llaman fascista, @FrayJosepho RT @SusanlLawson: #BrexitDebate @UKHouseofLords listening to @mcashmanCBE thank you for highlighting the xenophobic anti EU immigration hate that swamped front pages of tabloid newspapers ahead of EU Ref (examples👇) some in the other place pretend #Brexit was fairly won! #FinalSay #PeoplesVote</t>
  </si>
  <si>
    <t>https://twitter.com/SusanlLawson/status/1070812847607898112</t>
  </si>
  <si>
    <t>https://pbs.twimg.com/media/DtxKmZuW0AIN0Cl.jpg</t>
  </si>
  <si>
    <t>Eremita rodeado de solitarios</t>
  </si>
  <si>
    <t>Digievolucionando</t>
  </si>
  <si>
    <t>miss B</t>
  </si>
  <si>
    <t>Aquí de dónde viene @Santi_ABASCAL , lo mismo que se midió con etarras en Ayuntamientos, ahora lo tiene que hacer en las urnas, con un @sanchezcastejon al que sostiene Bildu #FelizDiadelaConstitucion</t>
  </si>
  <si>
    <t>https://youtu.be/a1bNckwMbak</t>
  </si>
  <si>
    <t xml:space="preserve">Casa palacio Leguineche </t>
  </si>
  <si>
    <t>No todo lo que puede ser contado, cuenta. No todo lo que cuenta, puede ser contado #YoapoyoalJuezLlarena #APIASEMPERFIDELIS Patrona de la APIA</t>
  </si>
  <si>
    <t>Jubeir Cristina</t>
  </si>
  <si>
    <t>No te pongas nerviosa @anarosaq a @Santi_ABASCAL no le importa ir a tu programa rojo mesa,como hizo @InesArrimadas y te dio una buena lección Saben quién les va a entrevistar Ahh,a Villarejo le van soltar,a ver si encontráis el vídeo de contenido sexual para extorsionar a un juez RT @vox_es: 📺 ¿Es VOX un partido inconstitucional? @Santi_ABASCAL responde en dos minutos a @anarosaq en @elprogramadear #40AñosDeConstitución #DíaDeLaConstitución</t>
  </si>
  <si>
    <t>@DIKIssTV @DMAX_es @CineTRECEtv @ELCadcabelTRECE @NatGeoEsp @abc_es @TDTNeox @AdelAljubeir @CanaldeHistoria @Frank_Cuesta @vox_es (TORPE CON TECLADO, sorry)</t>
  </si>
  <si>
    <t>KKO DIARIO</t>
  </si>
  <si>
    <t>Nace un antifascista, carta abierta a @Santi_ABASCAL: “le molestan tanto los chalets de unos pero no los áticos de otros”. #NoPasaran #Antifascismo</t>
  </si>
  <si>
    <t>https://jotapov.com/2018/12/06/carta-abierta-santiago-abascal-le-molestan-tanto-los-chalets-de-unos-pero-no-los-aticos-de-otros-son-los-de-siempre-pero-sin-la-mascara-sonriente-que-se-solian-poner/</t>
  </si>
  <si>
    <t>Mostrando el KKO que montan y tienen en la cabeza la derecha, ultraderecha, Pantuflo and company. ❤💛💜</t>
  </si>
  <si>
    <t>Presidente del gobierno✌🏻 @Santi_ABASCAL ECLOSIÓN @vox_es 💫 Hay esperanza Abascal es de esas personas que cumplirá con todo su programa y con cada cosa que haya dicho que hará No lo dudo Partidos emergente sin pasado Piensa @Albert_Rivera El PP no está regenerado,es continuidad RT @sterlingmrch: La vida de Santiago Abascal en su País Vasco natal: amenazas de muerte de ETA, su negocio familiar quemado en varias ocasiones y cartas de extorsión a su abuelo. ¿Qué nos apostamos a que esto no sale en los medios?</t>
  </si>
  <si>
    <t>macaserma2</t>
  </si>
  <si>
    <t>Elecciones de nuevo? Biennnnnmnn! Más votos para #vox_es.... Que razón tenias @Santi_ABASCAL... Pp y ciudadanos son la derechita cobarde! Casado excluye ahora a Vox de la negociación y solo ve interlocutor a Cs  vía @rtve</t>
  </si>
  <si>
    <t>http://rtve.es/n/1849541</t>
  </si>
  <si>
    <t>Malagueña ... Andaluza...🇳🇬🇳🇬🇳🇬 Y al parecer fascista por sentirme muy Española. 🇪🇸 🇪🇸 🇪🇸...</t>
  </si>
  <si>
    <t>luis mayorgas bergil</t>
  </si>
  <si>
    <t>Le hacen falta unas clases de política a la señora Ana Rosa para poder competir en un directo con @Santi_ABASCAL RT @vox_es: 📺 ¿Es VOX un partido inconstitucional? @Santi_ABASCAL responde en dos minutos a @anarosaq en @elprogramadear #40AñosDeConstitución #DíaDeLaConstitución</t>
  </si>
  <si>
    <t>Comunidad Valenciana, España</t>
  </si>
  <si>
    <t>JM</t>
  </si>
  <si>
    <t>Mira @pedroj_ramirez , estos también humanizan a @Santi_ABASCAL RT @daniel_portero: Este es @Santi_ABASCAL . Los que hemos sufrido por @ehbildu_herriak ETA y sus cómplices @eajpnv @ahorapodemos sabemos lo que es resistir el insulto y q te llamen facha o de “extrema derecha”. Dignidad y Justicia también es de “extrema necesidad”</t>
  </si>
  <si>
    <t>Cultureta (PhD in progress). Publico en @Aceprensa y @EditorialEdaf . Después de Homero (¿existió?), el mejor poeta griego fue un libio que vivió en Egipto.</t>
  </si>
  <si>
    <t>https://www.aceprensa.com/articles/signer/jose-maria-sanchez-galera/</t>
  </si>
  <si>
    <t>hector lozano</t>
  </si>
  <si>
    <t>Celebración de los 40 años de la Constitución Española , desde gerona con la #EspañaViva ,en la reconquista . @santi_abascal javierortegasmith @vox_es @megustavox @gerona_vox . . . . .…</t>
  </si>
  <si>
    <t>https://www.instagram.com/p/BrEEGK1ArIU/?utm_source=ig_twitter_share&amp;igshid=1j4pca112hydl</t>
  </si>
  <si>
    <t xml:space="preserve"> . ESPAÑA barcelona </t>
  </si>
  <si>
    <t>http://Instagram.com/hectorlozano113</t>
  </si>
  <si>
    <t>Frenadamente muy mal</t>
  </si>
  <si>
    <t>¿Qué te parece si te dehumanizamos a tí?. Deshumanizar a alguien como @Santi_ABASCAL, siempre fiel a sus valores, solo está al alcance de los más miserables, @pedroj_ramirez 😡😡😡</t>
  </si>
  <si>
    <t>Burgos, Castilla, España</t>
  </si>
  <si>
    <t>Cuenta dedicada a la defensa de España y de los valores que la han hecho grande a lo largo de los siglos. Siempre con un toque de humor.</t>
  </si>
  <si>
    <t>Pedro Pablo Martínez</t>
  </si>
  <si>
    <t>Vais a conseguir, no ya que @Santi_ABASCAL me caiga bien, que lo veo harto difícil, sino que deje de hablar de fútbol. Me da que lo vais a conseguir.</t>
  </si>
  <si>
    <t>Los madridistas no morimos, nos juntamos en el infierno.</t>
  </si>
  <si>
    <t>Acabo de ver entrevista completa @Santi_ABASCAL en programa Ana Rosa. Una amiga íntima mía es su vecina,espero encontrarme con el para darle la mano, porque no tengo ninguna duda que en pocos meses ya será imposible porque se va a mudar a la @desdelamoncloa #VoxAvanza @vox_es</t>
  </si>
  <si>
    <t>Mayéutico</t>
  </si>
  <si>
    <t>Esta "amable" carta era una de las tantas que le dedicaba la banda terrorista E.T.A. a la familia de @Santi_ABASCAL. Pero el fascista es él, claro. Para rematar la ironía, abajo del todo ponen dos términos que son justamente los q definen al fascismo: "socialista" y "nacional".</t>
  </si>
  <si>
    <t>Librepensador, autodidacta y espíritu libre.</t>
  </si>
  <si>
    <t>Yago Pérez Varela</t>
  </si>
  <si>
    <t>Con la foto que ilustra este relato de la desvergüenza de @Santi_ABASCAL también comprendo por qué se dejó barba, xd. RT @jmarcos78: En 2013 adelantamos en @el_pais que la Comunidad de Madrid financiaba a Fundación para el Mecenazgo y el Patrocinio Social, sin actividad conocida, en la que @Santi_ABASCAL, líder de @vox_es contrario al Estado autonómico, cobraba 83.000 euros anuales</t>
  </si>
  <si>
    <t>https://twitter.com/jmarcos78/status/1070719612172554242
https://bit.ly/2QAnHBw</t>
  </si>
  <si>
    <t>Samarcanda.</t>
  </si>
  <si>
    <t>Escritor, seguidor del Atlético de Madrid, estudioso de la historia, fan del boxeo y las artes marciales.</t>
  </si>
  <si>
    <t>http://franciscogordal.blogspot.com.es/</t>
  </si>
  <si>
    <t>asunagullo</t>
  </si>
  <si>
    <t>No tiene desperdicio, escrita desde la profunda angustia de vivir en el País Vasco en los años de plomo siendo del PP, lo que conllevaba inevitablemente la amenaza de muerte etarra Pablo, el infierno mismo, por @Santi_ABASCAL  vía @libertaddigital</t>
  </si>
  <si>
    <t>Es repugnante el nivel de odio que están vertiendo injustificadamente contra Vox todo tipo de medios de dudosa moralidad. Atentos al titular de @pedroj_ramirez en @elespanolcom Humanizar a @Santi_ABASCAL? Es un animal? Su discurso es machista y homofobo? A quien quieren engañar?</t>
  </si>
  <si>
    <t>https://pbs.twimg.com/media/DtxISneXcAAxLCK.jpg</t>
  </si>
  <si>
    <t>César 🇪🇸 The Apache Helicopter 🇪🇸 Rodríguez</t>
  </si>
  <si>
    <t>Creo que @Santi_ABASCAL y @vox_es deberían denunciar a Pablo Iglesias por esto. Digo que Santiago Abascal y Vox deberían hacerlo, por que son los únicos con la valentía suficiente para ello, y estoy seguro de que los españoles donariamos dinero para ello cómo ya se ha hecho. RT @elizabethdsc1: @Pablo_Iglesias_ Debe ser acusado Incitacion al Odio Quienes públicamente fomenten, promuevan o inciten directa o indirectamente al odio, hostilidad, discriminación o violencia contra un grupo, una parte del mismo o contra una persona determinada. Hilo</t>
  </si>
  <si>
    <t>https://twitter.com/elizabethdsc1/status/1070754332444901376
https://twitter.com/okdiario/status/1070621350002417664</t>
  </si>
  <si>
    <t>Galicia; España</t>
  </si>
  <si>
    <t>Sangre y Oro. Cielo y Mar Español de galicia, tengo criterio propio, respeta mi opinión y respetaré la tuya. KakaoTalk ID: memoloamimismo #UngaUngaArmy</t>
  </si>
  <si>
    <t>Eso mismo dijo Susana Díaz de Andalucía. 😂😂 RT @libertaddigital: Feijóo dice que VOX "no tiene cabida en Galicia"</t>
  </si>
  <si>
    <t>https://twitter.com/libertaddigital/status/1070348344340303872
http://dlvr.it/Qsv9Ny</t>
  </si>
  <si>
    <t>Carolina E. Cardona</t>
  </si>
  <si>
    <t>Quién lo diría, @elespanolcom y @pedroj_ramirez compartiendo criterio con la mismíma ETA que ya quiso "deshumanizar" a @Santi_ABASCAL RT @FrayJosepho: 🔴OJO A ESTE TITULAR. No es de Público ni de . Ni siquiera de El País. NO. Es de @elespanolcom de @pedroj_ramirez. Que no hay que "humanizar" a @Santi_ABASCAL. O sea, que hay que deshumanizarlo. Un diario que se dice liberal. Triste.</t>
  </si>
  <si>
    <t>Lo único que se necesita para que el mal triunfe es que los hombres buenos no hagan nada. Edmund Burke</t>
  </si>
  <si>
    <t>JNoguer@s🎗</t>
  </si>
  <si>
    <t>Oye Santi Abascal, has pensado en besar a una mujer? Lo de hacerlo con una momia no se como definirlo.</t>
  </si>
  <si>
    <t>https://pbs.twimg.com/media/DtxGNCoWsAANHh7.jpg</t>
  </si>
  <si>
    <t>Argentona, Catalunya</t>
  </si>
  <si>
    <t>Visc a Argentona i tinc segona residència a Sant Esteve de les Roures.</t>
  </si>
  <si>
    <t>Muzorn 🍂</t>
  </si>
  <si>
    <t>80 mil pavos al año como cargo público, nombrado porque sí (uno de los muchos) y dices que lo público es insostenible. Eres un grandísimo hijo de la gran puta, @Santi_ABASCAL</t>
  </si>
  <si>
    <t>Gaia</t>
  </si>
  <si>
    <t>26. Computer Engineer. I lost myself, I lost the way at some point. Looking for the light that brings me salvation. Animals, videogames... Blizzard.</t>
  </si>
  <si>
    <t>http://www.last.fm/user/magodeozchuchi</t>
  </si>
  <si>
    <t>Alvaro Santos</t>
  </si>
  <si>
    <t>Que opinion le merece @Santi_ABASCAL y su política señor Reverte @perezreverte ahora que es el principal tema de este país?</t>
  </si>
  <si>
    <t>Photographer</t>
  </si>
  <si>
    <t>La reacción de los PERROFLAUTAS cuando escuchan. QUE VIENE VOX.😂😂😂😂🇪🇸🇪🇸🇪🇸🇪🇸💪🏻💪🏻💪🏻 @vox_es @Santi_ABASCAL @voxjerezfra. 😂😂😂😂</t>
  </si>
  <si>
    <t>pic.twitter.com/vZvtLpiW99</t>
  </si>
  <si>
    <t>Cualquiera de Mis Peces,valen 10.000 veces más que estos Políticos de MIERDA.</t>
  </si>
  <si>
    <t>Ana Rosa no ha humanizado a @Santi_ABASCAL , el mismo se humanizó al expresar sus pensamientos, que dicho sea de pado, son los mismos pensamientos que pede tener un ciudadano con dos dedos de frente @elespanolcom RT @FrayJosepho: 🔴OJO A ESTE TITULAR. No es de Público ni de . Ni siquiera de El País. NO. Es de @elespanolcom de @pedroj_ramirez. Que no hay que "humanizar" a @Santi_ABASCAL. O sea, que hay que deshumanizarlo. Un diario que se dice liberal. Triste.</t>
  </si>
  <si>
    <t>📛📛📛📛¡Y ESTA AMIGOS ES LA GENERACIÓN MEJOR PREPARADA DE ESPAÑA. ESA QUE SALE A BERREAR Y A HACER EL CAFRE POR ORDEN DE @Pablo_Iglesias_ ! 👏👏👏👏👏¡QUÉ FUTURO! @Santi_ABASCAL</t>
  </si>
  <si>
    <t>https://youtu.be/wqwGqfQPaps</t>
  </si>
  <si>
    <t>Atención @Santi_ABASCAL a tus ordenes para lo que España amerite...sin ninguna restricción...ETA no esta desarticulada...hay que exterminarla.. RT @sterlingmrch: La vida de Santiago Abascal en su País Vasco natal: amenazas de muerte de ETA, su negocio familiar quemado en varias ocasiones y cartas de extorsión a su abuelo. ¿Qué nos apostamos a que esto no sale en los medios?</t>
  </si>
  <si>
    <t>nndriu</t>
  </si>
  <si>
    <t>Según @pedroj_ramirez , @Santi_ABASCAL no es humano.</t>
  </si>
  <si>
    <t>"De Roucos, poucos; e da Quintá, a mitá" Un lumpen del 55. Dicen que soy fascista. Lo de ser español es impagable.</t>
  </si>
  <si>
    <t>La realidad andaluza @Pablo_Iglesias_ @pnique @Santi_ABASCAL @Ortega_Smith</t>
  </si>
  <si>
    <t>https://pbs.twimg.com/media/DtxBoXRXgAEXAOk.jpg</t>
  </si>
  <si>
    <t>Oscar López</t>
  </si>
  <si>
    <t>Santi Abascal propone premiar por sus servicios a @QuimTorraiPla y @MiquelBuch</t>
  </si>
  <si>
    <t>Un libro un una mano y dos cervezas en la otra Llibertat presos polítics</t>
  </si>
  <si>
    <t>Una irresponsabilidad de @elespanolcom haciéndole el juego a Podemos, a Bildu y los CDR, que pretenden deshumanizarnos para atacarnos impúnemente. Una verdadera pena @pedroj_ramirez RT @FrayJosepho: 🔴OJO A ESTE TITULAR. No es de Público ni de . Ni siquiera de El País. NO. Es de @elespanolcom de @pedroj_ramirez. Que no hay que "humanizar" a @Santi_ABASCAL. O sea, que hay que deshumanizarlo. Un diario que se dice liberal. Triste.</t>
  </si>
  <si>
    <t>Por mucho que te esfuerces, Follones, @Santi_ABASCAL es inmune a vuestros ataques. Él no se presta a vuestro sórdido juego, no os legitima con su presencia. Me atrevo a decir que cuanto más le critiquéis, más españoles le votarán. RT @jordievole: No querían que fuésemos Pero ya estábamos dentro. Domingo por 1a vez en Salvados Hablamos d ellos "Conociendo a VOX"</t>
  </si>
  <si>
    <t>Danidovich de Cadizgrado☭🎗</t>
  </si>
  <si>
    <t>Santi Abascal susurrándole a Franco que él no es de extrema derecha.</t>
  </si>
  <si>
    <t>Francia</t>
  </si>
  <si>
    <t>El mundo es como aparece ante mis cinco sentidos y ante los tuyos, que son las orillas de los míos. #MiguelHernández Escribo hilos de Historia. @ElEstadoNet</t>
  </si>
  <si>
    <t>Verdadesdeldia</t>
  </si>
  <si>
    <t>Por primera vez voto con ilusión y veo a gente votando con ilusión, @vox_es y @Santi_ABASCAL lo estan consiguiendo frente a @PSOE, @ahorapodemos...cada vez somos mas...@sanchezcastejon convoca elecciones! #elecciones #Constitucion #40AnosConstitucion</t>
  </si>
  <si>
    <t>Enamorad@ de nuestra bandera y país, cansado de parásitos y piojosos, enganchado al humor y las cosas claras.</t>
  </si>
  <si>
    <t>Rogelio Risitas</t>
  </si>
  <si>
    <t>Mira @Santi_ABASCAL , luego se preguntan estos idiotas, de que hablas cuando hablas de "yihadismo feminazi". 😂😂😂 RT @elperiodico: Las acusaciones de acoso sexual a Morgan Freeman fueron inventadas por una periodista de la CNN</t>
  </si>
  <si>
    <t>https://twitter.com/elperiodico/status/1070797181488193542
http://elperiodi.co/75vhe1</t>
  </si>
  <si>
    <t xml:space="preserve"> Zona corrupta y podrida</t>
  </si>
  <si>
    <t>🎼Yo nunca seguí al rebaño, porque ni el pastor ni el amo, eran gente de fiar, cuanto más pasan los años, más me aparto del rebaño, por que no sé a donde va.🎶</t>
  </si>
  <si>
    <t>🇪🇸⚜️Memeses⚔️🇪🇸</t>
  </si>
  <si>
    <t>Otra cosa más para zanjar de raíz y ese gasto invertirlo en los españoles y estos PENAS devolvérselos a Hassan y que los mantenga el con sus coj... @vox_es @voxnoticias_es @Santi_ABASCAL @Ortega_Smith RT @currusquita: #LoMásDestacado Fantástica @yolandacmorin nos explica claramente cómo se subvencionan los #MENAS Menores extranjeros No acompañados. Como se gestiona y el gasto que supone al Estado. #Pásalo #RT Celebramos #40añosdeConstitución FELICITACIONES‼‼ Dentro #Video 👇👇👇👇</t>
  </si>
  <si>
    <t>https://twitter.com/currusquita/status/1070777359228420103</t>
  </si>
  <si>
    <t>pic.twitter.com/Po9w6uFBKL</t>
  </si>
  <si>
    <t>🇪🇸Español. ⚜️⚔️Legionario. Comunistas ☭ socialistas🌹, etarras💀, indepes🇵🇷 y demás trolls de izquierdas y rompepatrias, bloqueo automático🚫. 😓😷☭🌹</t>
  </si>
  <si>
    <t>Enparantzito</t>
  </si>
  <si>
    <t>Me dicen que en Llodio, el tal Santi Abascal, tenía fama de comer polos y cosas cilíndricas similares. Qué cosas, chaveas.</t>
  </si>
  <si>
    <t>Qué paranormal es todo.</t>
  </si>
  <si>
    <t>Ana</t>
  </si>
  <si>
    <t>A @Santi_ABASCAL lo llama machista, y a mí me manda un beso. Menos mal que no me ha preguntado si sé hacer tuerking RT @juanmafdez: @mestoycabreando @Santi_ABASCAL Nivel el tuyo demostrando que te falta bastante comprensión lectora. Pero tampoco me extraña viendo tu apoyo a un partido racista, machista y homófobo. Un beso.</t>
  </si>
  <si>
    <t>https://twitter.com/juanmafdez/status/1070794286294360066</t>
  </si>
  <si>
    <t>Maggik147</t>
  </si>
  <si>
    <t>Hola @vox_es @CiudadanosCs @PPopular @Santi_ABASCAL @pablocasado_ @Albert_Rivera @FNFFranco 🤣🤣🤣🤣 RT @poloniatv3: Franco és la Rosalia del feixisme. #PolòniaTV3</t>
  </si>
  <si>
    <t>https://twitter.com/poloniatv3/status/1070794599474585600</t>
  </si>
  <si>
    <t>pic.twitter.com/5VAnVc6Tfu</t>
  </si>
  <si>
    <t>Terrassa, Espanya</t>
  </si>
  <si>
    <t>Que dice este que @Santi_ABASCAL no es ni humano...hasta ahí el nivel. RT @juanmafdez: Buen ejemplo para que en las universidades enseñen cómo no se debe hacer una entrevista.</t>
  </si>
  <si>
    <t>Jorge Buxadé</t>
  </si>
  <si>
    <t>Por esto y muchas otras razones se hace imperativo el cierre de @canalsur que @vox_es con @Santi_ABASCAL propuso en campaña y reiteró ayer mismo. Se ha de acabar con una prensa pública al servicio del desorden, el caos, la barbarie y la violencia. RT @okdiario: .@canalsur identifica a @vox_es con el fascismo y jalea las protestas provocadas por Iglesias Por @joanguirado 👇</t>
  </si>
  <si>
    <t>https://twitter.com/okdiario/status/1070592496361717761
https://okdiario.com/espana/andalucia/2018/12/06/canal-sur-identifica-vox-fascismo-jalea-protestas-provocadas-iglesias-3430879?utm_campaign=ok&amp;utm_medium=Social&amp;utm_source=Twitter#Echobox=1544083212</t>
  </si>
  <si>
    <t>Nuestros hijos se merecen que les entreguemos la mejor herencia:libertad, justicia, belleza. CEN vox</t>
  </si>
  <si>
    <t>http://www.jorgebuxade.com</t>
  </si>
  <si>
    <t>High Fidelity ن ✝️</t>
  </si>
  <si>
    <t>Pues sí. Lo tengo pensado hacer. Lo haré. Y estoy totalmente de acuerdo con @Santi_ABASCAL RT @dexamina: A los que tenéis pensado votar a Vox: ¿De verdad estáis de acuerdo con esto?</t>
  </si>
  <si>
    <t>https://twitter.com/dexamina/status/1070403607172927491
https://twitter.com/elprogramadear/status/1070258176149413888</t>
  </si>
  <si>
    <t>Reino de Valencia. España</t>
  </si>
  <si>
    <t>Audentes fortuna iuvat. Española nacida en Valencia. Amante de los animales. #DisolucionAutonomias #EleccionesYa #SiempreConLosCCFFSSEE ⛔️NO MD⛔️ Solo amigos</t>
  </si>
  <si>
    <t>Elias Martinez Perez</t>
  </si>
  <si>
    <t>vaya huevos tienes @Santi_ABASCAL</t>
  </si>
  <si>
    <t>https://youtu.be/sRfAUZ059S8</t>
  </si>
  <si>
    <t>Marty Brunet</t>
  </si>
  <si>
    <t>http://va.newsrepublic.net/s/dNTxfY</t>
  </si>
  <si>
    <t>Europe</t>
  </si>
  <si>
    <t>MCN. Festivals of Music, Cibernetica, Nature. Cadi 1984-1990. 'Science As Man's Liberation Respecting and Protecting The Natural World'</t>
  </si>
  <si>
    <t>https://www.facebook.com/martin.brunetpuigbo</t>
  </si>
  <si>
    <t>El Amarga Progres</t>
  </si>
  <si>
    <t>Si ocurre todo esto sabes que habrás votado correctamente #Españaloprimero #Vox @Ortega_Smith @Santi_ABASCAL @vox_es</t>
  </si>
  <si>
    <t>https://pbs.twimg.com/media/Dtw2OqOWwAEQdtH.jpg</t>
  </si>
  <si>
    <t>Oficialmente bloqueado por 🎯#ArnaldoOtegi🏆#Puigdemont🥇#P.Iglesias 🥈#Podemos 🥉#Anc 🏅#P.Rahola🎖#Pisarello📎#Berlustinho 📌#P.Hasel🍾#Gallifantes #A.Maestre</t>
  </si>
  <si>
    <t>VOX es un movimiento nacional para acabar con la corrupción política y por la unidad de España. @FJL_EsRadio @Ortega_Smith @Santi_ABASCAL @monasterioR VIVA VOX VOTO VOX POR UNA ESPAÑA VIVA SIN TRAIDORES Y SIN COMUNISTAS mercenarios de Podemos financiados por un narco dictador. RT @elpais_espana: Vox recibe 1.000 afiliaciones diarias desde el 2 de diciembre  Lo cuenta @javiercasqueiro</t>
  </si>
  <si>
    <t>https://twitter.com/elpais_espana/status/1070400883169599489
http://ow.ly/TFBr30mSzsG</t>
  </si>
  <si>
    <t>Rebeca Egido 🗺</t>
  </si>
  <si>
    <t>Hace 20 años conocí a @Santi_ABASCAL y era entonces lo mejor que tenía el PP vasco junto a Maria San Gil. 15 años después le pedí un favor, y ahí estaba, amable como siempre. No sé si le votaré, pero ni es ultra ni es extremo, es un demócrata. RT @daniel_portero: Este es @Santi_ABASCAL . Los que hemos sufrido por @ehbildu_herriak ETA y sus cómplices @eajpnv @ahorapodemos sabemos lo que es resistir el insulto y q te llamen facha o de “extrema derecha”. Dignidad y Justicia también es de “extrema necesidad”</t>
  </si>
  <si>
    <t>Numerosa,poldarkista.¡Dona!!</t>
  </si>
  <si>
    <t>...te guardé una entrada para el desconcierto... El 3 de junio de 2018 me echó un piropo José Luis Garci.</t>
  </si>
  <si>
    <t>Xocas</t>
  </si>
  <si>
    <t>Podéis votarlo o no, pero a gente como @SANTI_ABASCAL todos le debemos un respeto por haber sufrido lo que ha sufrido en pos del estado de derecho. RT @hermanntertsch: Mientras los Abascal recibían cartas como esta, otros se dedicaban a las loas a ETA y al FRAP, ayudaban todo lo que pudieran a las estructuras etarras y hoy corean los llamamientos a la violencia de los comunistas de Podemos.</t>
  </si>
  <si>
    <t>https://twitter.com/hermanntertsch/status/1070625337036455938</t>
  </si>
  <si>
    <t>https://pbs.twimg.com/media/DtugEMxWwAU8h7X.jpg</t>
  </si>
  <si>
    <t>Conjo Belja</t>
  </si>
  <si>
    <t>Mis principios se rigen por el mourinhismo más ortodoxo. Desfacedor de agravios y sinrazones. Diestro arriba y zurdo abajo. \m/</t>
  </si>
  <si>
    <t>Er Cabesa</t>
  </si>
  <si>
    <t>Ponte en frente, ponte ponte... Q se t va explicar muy bien... Será una experiencia muy productiva para ti y divertida pera los instructores. Se t acaba el chollo, esto no lo paraa ni tu ni toda la jauría d vagos y chupatintas q llevas detrás @gabrielrufian @Santi_ABASCAL @vox_es</t>
  </si>
  <si>
    <t>https://pbs.twimg.com/media/Dtw0YGXWkAAc9TN.jpg</t>
  </si>
  <si>
    <t>🇪🇸 VIVA ESPAÑA 🇪🇸</t>
  </si>
  <si>
    <t>Oscar ||*|| 🎗</t>
  </si>
  <si>
    <t>Si con @vox_es vuelve la ley de vagos y maleantes, ¿meterían a @Santi_ABASCAL en la trena? RT @jmarcos78: En 2013 adelantamos en @el_pais que la Comunidad de Madrid financiaba a Fundación para el Mecenazgo y el Patrocinio Social, sin actividad conocida, en la que @Santi_ABASCAL, líder de @vox_es contrario al Estado autonómico, cobraba 83.000 euros anuales</t>
  </si>
  <si>
    <t>I'm a everything is all righter, I'm a Prizefighter. Clot-BCN. Nolite te bastardes carborundorum. Pues molt bé, pues adiós</t>
  </si>
  <si>
    <t>WILL</t>
  </si>
  <si>
    <t>Puedo decir con orgullo que en las elecciones andaluzas en 2015, mi hijo mayor votó por primera vez y los dos votamos @vox_es . Nos tacharon de absurdos, de tirar el voto a la basura. Sólo fuimos coherentes @Santi_ABASCAL RT @romualdomaestre: El origen de Vox en Andalucía: Santiago Abascal subido en un banco de Sevilla  vía @abcdesevilla</t>
  </si>
  <si>
    <t>https://twitter.com/romualdomaestre/status/1070747080707268608
https://sevilla.abc.es/elecciones/andalucia/sevi-origen-andalucia-santiago-abascal-subido-banco-sevilla-201812060827_noticia.html#ns_campaign=rrss-inducido&amp;ns_mchannel=abcdesevilla-es&amp;ns_source=tw&amp;ns_linkname=noticia-foto&amp;ns_fee=0</t>
  </si>
  <si>
    <t>Nos pasamos la vida esperando un milagro sin darnos cuenta de que el milagro es la propia vida. Española y sevillana. Colaboro en La Gaceta @gaceta_es</t>
  </si>
  <si>
    <t>will🇪🇸🇪🇸🇪🇸🇪🇸🇺🇲  por España libre</t>
  </si>
  <si>
    <t>solo merece vivir quien por un noble ideal esta dispuesto a morir</t>
  </si>
  <si>
    <t>http://bit.ly/Porno-gratis</t>
  </si>
  <si>
    <t>Fray Josepho</t>
  </si>
  <si>
    <t>🔴OJO A ESTE TITULAR. No es de Público ni de . Ni siquiera de El País. NO. Es de @elespanolcom de @pedroj_ramirez. Que no hay que "humanizar" a @Santi_ABASCAL. O sea, que hay que deshumanizarlo. Un diario que se dice liberal. Triste.</t>
  </si>
  <si>
    <t>http://eldiario.es
https://www.elespanol.com/bluper/noticias/irresponsabilidad-ana-rosa-telecinco-humanizando-santiago-abascal-ultraderecha</t>
  </si>
  <si>
    <t>La sátira de Libertad Digital. También en @eslatarde de @esradio.</t>
  </si>
  <si>
    <t>http://www.libertaddigital.com/opinion/fray-josepho/</t>
  </si>
  <si>
    <t>El podemita Echenique compara a Santi Abascal son Torrente y las redes lo fulminan</t>
  </si>
  <si>
    <t>Muy buenas señor @Santi_ABASCAL, entiendo que usted diga que no sé considere fascista, quedaría muy feo de cara a los medios de comunicación. Pero cuando dice que no es antifascista, me genera miedo, igual no quiere ponerse etiquetas, pero por favor diga que no esta a favor.</t>
  </si>
  <si>
    <t>pedro galiana garrid</t>
  </si>
  <si>
    <t>Ahora cuando el @ppandaluz se ponga serio con lo que llaman chiringuitos, que pregunten a @Santi_ABASCAL que lo mismo todavía le queda alguno RT @jmarcos78: En 2013 adelantamos en @el_pais que la Comunidad de Madrid financiaba a Fundación para el Mecenazgo y el Patrocinio Social, sin actividad conocida, en la que @Santi_ABASCAL, líder de @vox_es contrario al Estado autonómico, cobraba 83.000 euros anuales</t>
  </si>
  <si>
    <t>Profesor - Socialista - Andaluz. Investigando en #RRSS</t>
  </si>
  <si>
    <t>María</t>
  </si>
  <si>
    <t>the face of santi abascal me da un montón de cage</t>
  </si>
  <si>
    <t>He visto a Beyoncé y sigo sin creermelo</t>
  </si>
  <si>
    <t>Marta ♀</t>
  </si>
  <si>
    <t>Hola @Santi_ABASCAL si algún día mi novia y yo decidimos casarnos, nuestro matrimonio no va ser menos válido solo porque a ti te salga de la punta del nabo. Buenas noches.</t>
  </si>
  <si>
    <t>https://pbs.twimg.com/media/DtwueHJW4AAV7hl.jpg</t>
  </si>
  <si>
    <t>No tolero el gluten te voy a tolerar a ti que eres gilipollas. // ☯ 🌈🇮🇨</t>
  </si>
  <si>
    <t>http://Instagram.com/irethflames/</t>
  </si>
  <si>
    <t>Rosa María</t>
  </si>
  <si>
    <t>#DíadelaConstitución #AlertaAntifascista #AndaluciaAntifascista 'Pillada' a @Santi_ABASCAL : no sabe que no se puede cerrar Canal Sur ni con el apoyo del @PPopular</t>
  </si>
  <si>
    <t>https://www.lasexta.com/noticias/nacional/la-pillada-a-santiago-abascal-que-muestra-que-ni-si-quiera-sabe-como-cerrar-canal-sur-aunque-le-apoyara-el-pp-video_201812065c09494e0cf2d96fe2fb0691.html</t>
  </si>
  <si>
    <t>País Valencià</t>
  </si>
  <si>
    <t>Antonio Martin</t>
  </si>
  <si>
    <t>Magistral @Santi_ABASCAL</t>
  </si>
  <si>
    <t>pic.twitter.com/8IZXjBrgWd</t>
  </si>
  <si>
    <t>TABARNIA</t>
  </si>
  <si>
    <t>Hay dos cataluñas: una, fanatizada y enferma, y otra, a la que yo pertenezco. Si eres separatista, comunista o culé ni te acerques</t>
  </si>
  <si>
    <t>Hoy día de la Constitución Española...mas que nunca viva ESPAÑA..que no la destruyan las hordas COMUNISTAS!!! VIVA NUESTRO LÍDER @Santi_ABASCAL</t>
  </si>
  <si>
    <t>pic.twitter.com/tQLycp9G0T</t>
  </si>
  <si>
    <t>Viva nuestro caudillo y lider @Santi_ABASCAL UN HOMBRE curtido por la maldad y el terrorismo...el siempre será nuestro Jefe....Arriba ESPAÑA...y TODOS masivamente a votar @vox_es</t>
  </si>
  <si>
    <t>pic.twitter.com/Dillzr4HdC</t>
  </si>
  <si>
    <t>Con un par @Santi_ABASCAL 👍💪🇪🇸 RT @diario_realidad: VOX impone en su agenda el restablecimiento del servicio militar en Andalucía si el PP quiere gobiernar.</t>
  </si>
  <si>
    <t>https://twitter.com/diario_realidad/status/1070334857669169153</t>
  </si>
  <si>
    <t>https://pbs.twimg.com/media/DtqX3dDX4AEhOEy.jpg</t>
  </si>
  <si>
    <t>Caléndula</t>
  </si>
  <si>
    <t>Madre mía, que Santi Abascal es más joven que yo. Os dejo un rato, que tengo que saltar por un puente.</t>
  </si>
  <si>
    <t>Donde te pica</t>
  </si>
  <si>
    <t>Me pica una trompa de falopio.</t>
  </si>
  <si>
    <t>Բ૨αทjђZ 💍</t>
  </si>
  <si>
    <t>Decapitar a los leones del #CongresoDeLosDiputados y poner una cabeza en la cama de @pablocasado_ y otra en la de @Santi_ABASCAL, rollo #ElPadrino, pagaría por verlo, seria #épico @PPopular @vox_es</t>
  </si>
  <si>
    <t>Orihuela, España</t>
  </si>
  <si>
    <t>El rock, la paella y el @FCBarcelona_es como estilo de vida. El mejor marido que puede tener @marivibalaguer. Culé a tiempo completo en @ebneuo</t>
  </si>
  <si>
    <t>https://m.facebook.com/ebneuo</t>
  </si>
  <si>
    <t>Sr. Lopez</t>
  </si>
  <si>
    <t>Estos no son los mismos que quieren cerrar Canal Sur?: Detenido García Juliá, uno de los autores de la matanza de Atocha @lavanguardia  @Santi_ABASCAL @Albert_Rivera @pablocasado_ @jordi_canyas @InesArrimadas @Ortega_Smith @PPopular @vox_es</t>
  </si>
  <si>
    <t>https://www.lavanguardia.com/politica/20181206/453399945627/detenido-brasil-autor-matanza-abogados-atocha.html?utm_campaign=botones_sociales&amp;utm_source=twitter&amp;utm_medium=social</t>
  </si>
  <si>
    <t>Espanya</t>
  </si>
  <si>
    <t>Economista y abogado. Colaborador en radio y televisión. Este es mi verdadero perfil, el de verdad es mi avatar.</t>
  </si>
  <si>
    <t>Themis Allende</t>
  </si>
  <si>
    <t>Parlamento Vasco, 14/06/2003, Dos concejales, uno de ellos @Santi_ABASCAL, as cortados, bajo escraches, insultos, escupitajos y amenazas: "Hijos de puta, váis a morir". Pero los fascistas son los amenazados...</t>
  </si>
  <si>
    <t>LiberMind</t>
  </si>
  <si>
    <t>Slimky....la mascota del capo chavista nos habla de dar risa....👏🤣👏🤣👏🤣 @Santi_ABASCAL os está destrozando!!! 🇪🇸🇪🇸🇪🇸🇪🇸 #VoxValientes #VoxAvanza #VOXÚtil #EspañaViva #EspañaLoPrimero #PodemosEsChavismo RT @pnique: Abascal es como Torrente. Da risa... hasta que te imaginas a Torrente en un parlamento o en un gobierno... y entonces da miedo.</t>
  </si>
  <si>
    <t>Liberal, conservador, demócrata y espaÑol: ¡El sueño de la razón produce monstruos!</t>
  </si>
  <si>
    <t>el bonito</t>
  </si>
  <si>
    <t>Cenar en Nochebuena con Santi Abascal, Bertín Osborne y Pablo motos... Y Arévalo en la sobremesa contando chistes de gangosos y mariquitas.</t>
  </si>
  <si>
    <t>entre ramas</t>
  </si>
  <si>
    <t>nací y estoy aquí.</t>
  </si>
  <si>
    <t>Jesus Pineda Peña</t>
  </si>
  <si>
    <t>Siempre le preguntan a @Santi_ABASCAL q si quiere quitar las autonomías porque se presenta Vox en Andalucía? Pero nunca le preguntan a los de Podemos qué hacen sentados en el Congreso de una Monarquía Constitucional como la nuestra ya q son republicanos y anticonstitucionalistas</t>
  </si>
  <si>
    <t>http://www.laboratoriodeortodonciajesuspineda.com</t>
  </si>
  <si>
    <t>Annita 🌹🌕🌕</t>
  </si>
  <si>
    <t>Mira por donde el que las quiere abolir resulta que va viviendo de ellas.@Santi_ABASCAL no engañas a lis que hemos leído algún libro RT @jmarcos78: En 2013 adelantamos en @el_pais que la Comunidad de Madrid financiaba a Fundación para el Mecenazgo y el Patrocinio Social, sin actividad conocida, en la que @Santi_ABASCAL, líder de @vox_es contrario al Estado autonómico, cobraba 83.000 euros anuales</t>
  </si>
  <si>
    <t>Soc veterinària, Master GEMBA de IESE (tinc el certificat)😂😂😂, Córrer, llegir i estar aprop dels que m'estimen és el que em dona vida.</t>
  </si>
  <si>
    <t>Van gelder</t>
  </si>
  <si>
    <t>El podemita Echenique compara a Santi Abascal con 'Torrente' y las redes lo fulminan. Este no puede ser más tonto pq no se estrena 😂😂😂😂  vía @Periodistadigit</t>
  </si>
  <si>
    <t>#YoNoSintonizoMediaset ¯\_(ツ)_</t>
  </si>
  <si>
    <t>La televisión es el espejo donde se refleja la derrota de todo nuestro sistema cultural y MORAL__</t>
  </si>
  <si>
    <t>Yo le aconsejaría a @Albert_Rivera que tomase el de la izquierda en ella tiene más posibilidades y puede regenerarla que falta le hace @Santi_ABASCAL ya se va encargar de regenerar la derecha 😉 RT @doguionrego: @Albert_Rivera en una encrucijada tirar por el camino de la derecha o el de la izquierda Son los problemas que tiene el centro 😃</t>
  </si>
  <si>
    <t>https://twitter.com/doguionrego/status/1070767241313116161
https://twitter.com/jaimedeolano/status/1069850399841140736</t>
  </si>
  <si>
    <t>Tomás de León Hernández</t>
  </si>
  <si>
    <t>¿Quién es #santi_abascal, #VoxAvanza ,#VOX #vox_es, #VoxAbascalTV3 ? Para todos los comunistas e izquierdozos radicales</t>
  </si>
  <si>
    <t>pic.twitter.com/tFNufABSR8</t>
  </si>
  <si>
    <t>Santa Cruz de Tenerife, España</t>
  </si>
  <si>
    <t>La vida son momentos, vívelos 🇪🇸Viva ESPAÑA🇪🇸🇪🇸VIVA LA GUARDIA CIVIL🇪🇸VIVA EL REY🇪🇸 Jefe de Brigada Siderometalurgia</t>
  </si>
  <si>
    <t>http://youranonnews.tumblr.com/</t>
  </si>
  <si>
    <t>Alejandro Ruiz</t>
  </si>
  <si>
    <t>A la didáctica explicación de @Santi_ABASCAL la señora Ana Rosa Quintana nada entiende, solo se la ocurre la frase Más Europa, grandilocuente pero sin contenido, que pena que poco nivel intelectual de estos periodistas de reality show. RT @vox_es: 📺 ¿Es VOX un partido inconstitucional? @Santi_ABASCAL responde en dos minutos a @anarosaq en @elprogramadear #40AñosDeConstitución #DíaDeLaConstitución</t>
  </si>
  <si>
    <t>En la cincuentena, Técnico en Sistemas de Información geografica, amante de la literatura y todo lo relacionado con las humanidades.</t>
  </si>
  <si>
    <t>Philip Oias</t>
  </si>
  <si>
    <t>Acaba de aterrizar y ya está haciendo los primeros ridículos. Nos vamos a divertir con @Santi_ABASCAL. El poco tiempo que dure, claro.</t>
  </si>
  <si>
    <t>Antequera</t>
  </si>
  <si>
    <t>Orgullosamente gay, papá y soberanista. No se me escapa ni una y no me corto un pelo. Y, si no, ya lo verás.</t>
  </si>
  <si>
    <t>https://twitter.com/Philip_Oias</t>
  </si>
  <si>
    <t>Estoy con @vox_es @voxnoticias_es totalmente de acuerdo en todo, pero en esto sobre todo... BASTA YA!! que no podamos no defender nuestras casas, propiedades y familias. ¡LEY DE LEGÍTIMA DEFENSA YA! Ánimo VOX @SANTI_ABASCAL @Ortega_Smith @monasterioR ni un paso atrás.</t>
  </si>
  <si>
    <t>https://pbs.twimg.com/media/Dtwdg20XgAA6meB.jpg</t>
  </si>
  <si>
    <t>AzoteTuitero</t>
  </si>
  <si>
    <t>Mira @anarosaq como le decias a @Santi_ABASCAL que era mentira.. A ver si te documentas.. Periodista femiprogre. RT @BenemeritosGC: “Denuncié falsamente a mi marido para cobrar una ayuda”. Estas conductas son las que quiere evitar @vox_es. Se trata de proteger a las mujeres contra violencia masculina y proteger a los hombres frente a este tipo de conductas, que aunque sean en menor medida, también EXISTEN.</t>
  </si>
  <si>
    <t>https://twitter.com/BenemeritosGC/status/1070687451067371520</t>
  </si>
  <si>
    <t>pic.twitter.com/EX9HLd8oZA</t>
  </si>
  <si>
    <t>Anywhere</t>
  </si>
  <si>
    <t>Crítico a más no poder.</t>
  </si>
  <si>
    <t>Juan Fernandez</t>
  </si>
  <si>
    <t>El nombre que tiene se llama @vox_es que generan odio hacia las personas y el que más su líder el cavernícola @Santi_ABASCAL RT @elperiodico: ÚLTIMA HORA | Asesinado a golpes un pionero del movimiento gay en Valencia</t>
  </si>
  <si>
    <t>https://twitter.com/elperiodico/status/1070680863963267072
http://elperiodi.co/abf431</t>
  </si>
  <si>
    <t xml:space="preserve">Cehegín (Murcia) España </t>
  </si>
  <si>
    <t>Intentado buscar la felicidad, perdiendo a momentos la ilusión, pero siempre y ante todo viviendo sin interntar hacer daño.</t>
  </si>
  <si>
    <t>https://m.facebook.com/?_rdr</t>
  </si>
  <si>
    <t>T.J</t>
  </si>
  <si>
    <t>Usted @pnique hablando del señor @Santi_ABASCAL ???😂😂😂 Parece que lo de "la Dominga" le ha dejado tocado!!😂😂😂 RT @pnique: Abascal lleva 20 años chupando del bote y la corrupta Esperanza Aguirre le pagaba 80.000€ al año por vivir del cuento. Por eso quiere que odies a las feministas, a los inmigrantes y a los catalanes. Para que se te olvide que es Gürtel PP pata negra.</t>
  </si>
  <si>
    <t>España 🇪🇸</t>
  </si>
  <si>
    <t>Soy periodista y estoy en Twitter para opinar, no para ligar. GRACIAS. Apoyo a @jusapol en su lucha por la equiparación salarial. Aborto= Asesinato.</t>
  </si>
  <si>
    <t>monnissima</t>
  </si>
  <si>
    <t>Sr @Santi_ABASCAL a mi 1 político no me dice mas q es capaz de robarme no lo sigo a ud pq me parezca diferente lo sigo a ud ..pq su discurso y su actitud me permiten percibir coherencia HOY LO APOYO PERO SI UD CAMBIA SERÉ SU MALDITA PESADILLA PERDÍ MUCHO Y MORIR NO ME IMPORTA</t>
  </si>
  <si>
    <t>Dicen que un Tweet es un estado mental un manual para aprender a llorar la banda sonora del desamor un gato en celo oculto en un callejon....</t>
  </si>
  <si>
    <t>http://page.is/monnissima</t>
  </si>
  <si>
    <t>José León</t>
  </si>
  <si>
    <t>100% De Acuerdo con @Santi_ABASCAL @vox_es ¡A por ellos!¡Hasta el Final! RT @vox_es: 📺 ¿Es VOX un partido inconstitucional? @Santi_ABASCAL responde en dos minutos a @anarosaq en @elprogramadear #40AñosDeConstitución #DíaDeLaConstitución</t>
  </si>
  <si>
    <t>LSU Tennis Player</t>
  </si>
  <si>
    <t>Español Catalán</t>
  </si>
  <si>
    <t>A ver, @pnique que si un político se ve obligado a llevar una arma es porque eatá amenazado de muerte, como es el caso de @Santi_ABASCAL porque los que tu apoyas o toleras son los que lo amenazan. En cambio a tí, ningún seguidor de partido contrario al tuyo te amenaza.¿Lo pillas? RT @lbalcarce: La cara que se le queda a 'Echeminga' cuando Ferreras le recuerda que Anguita también llevaba pistola no tiene precio.</t>
  </si>
  <si>
    <t>https://twitter.com/lbalcarce/status/1070599229394092033</t>
  </si>
  <si>
    <t>pic.twitter.com/kORW9EPm2X</t>
  </si>
  <si>
    <t>TODA ESPAÑA</t>
  </si>
  <si>
    <t>Ante el insulto, el bloqueo</t>
  </si>
  <si>
    <t>RABASCO ن</t>
  </si>
  <si>
    <t>Es momento de rescatar este Tweet de @Santi_ABASCAL @vox_es de 2014 donde VOX niega publicamente formar parte de El Yunque u otra secta. RT @Santi_ABASCAL: El yunque y el bunker</t>
  </si>
  <si>
    <t>https://twitter.com/Santi_ABASCAL/status/516138591521878016
http://blogs.elconfidencial.com/espana/tribuna/2014-09-28/el-yunque-y-el-bunker_217730/</t>
  </si>
  <si>
    <t>🎤 Artista Urbano ✝️ Apologeta Católico 📹 Youtuber 🙏🏻 #OFS</t>
  </si>
  <si>
    <t>http://www.youtube.com/rabascoficial</t>
  </si>
  <si>
    <t>Los Genoveses</t>
  </si>
  <si>
    <t>La famiglia + 1. @Santi_ABASCAL : Un ultra con sueldo y pistola. Un repaso a su biografía no oficial .</t>
  </si>
  <si>
    <t>https://www.elplural.com/politica/los-genoveses/santiago-abascal-ultra-con-sueldo-y-pistola_207673102</t>
  </si>
  <si>
    <t>Génova 13 Bis. Spain</t>
  </si>
  <si>
    <t>No somos neutrales ni lo tenemos previsto.</t>
  </si>
  <si>
    <t>http://www.losgenoveses.net</t>
  </si>
  <si>
    <t>Como ya no saben que inventar, lo de fachas va perdiendo fuelle, la última mentira sobre @vox_es es está, pero los votantes si sabemos los que quiere @Santi_ABASCAL y @Ortega_Smith para a Andalucia, y lo que esté periódico dice es una vulgar mentira. #FakeNews RT @diario_realidad: VOX impone en su agenda el restablecimiento del servicio militar en Andalucía si el PP quiere gobiernar.</t>
  </si>
  <si>
    <t>Godokoro</t>
  </si>
  <si>
    <t>Si @Santi_ABASCAL responsabiliza a Pablo Iglesias, yo responsabilizo a Santiago de cada futura agresión fascisa a inmigrantes, mujeres o a miembros de colectivos atacados en sus manifestaciones.</t>
  </si>
  <si>
    <t>Viva @Santi_ABASCAL</t>
  </si>
  <si>
    <t>https://pbs.twimg.com/media/DtwXohBWoAAEjv_.jpg</t>
  </si>
  <si>
    <t>Kiko Rosique</t>
  </si>
  <si>
    <t>La baza electoral de las mujeres, as en la manga de la izquierda. @Pablo_Iglesias_ vincula republicanismo y feminismo, y los opone una reacción ejemplificada... en el caballo de @Santi_ABASCAL  vía @Servimedia</t>
  </si>
  <si>
    <t>https://www.servimedia.es/noticias/1098144</t>
  </si>
  <si>
    <t>Redactor de Nacional de Servimedia (2009-), columnista de 'El Mundo de Castilla y León' (2000-13), autor del ensayo https://elcuentodelasnaciones.wordpress.com/</t>
  </si>
  <si>
    <t>http://www.kikorosique.com</t>
  </si>
  <si>
    <t>El Weke weke</t>
  </si>
  <si>
    <t>Contando los días para que llegue el debate entre @Santi_ABASCAL y el coletas¡¡¡</t>
  </si>
  <si>
    <t>pic.twitter.com/WwdaPDsGel</t>
  </si>
  <si>
    <t>Madrid. España.</t>
  </si>
  <si>
    <t>La distribución de la riqueza no es problema si solo preguntas a los que reciben sin aportar, todo lo tuyo para ellos. Ciudadano anónimo. Opinador freelance.</t>
  </si>
  <si>
    <t>juanjomell</t>
  </si>
  <si>
    <t>Un Sitio donde pasarlo bien</t>
  </si>
  <si>
    <t>Pvt.Caparzo</t>
  </si>
  <si>
    <t>Ayer cena de empresa. Como buena empresa canaria del metal, tenemos en planilla a gente de todo el mundo. Polonia, Venezuela, Cuba, mucho canario muy viajado... Hubo karaoke. El cubano es negro. @Santi_ABASCAL ,me acordé de ti.😂</t>
  </si>
  <si>
    <t>https://youtu.be/vXGOrRjbpqA</t>
  </si>
  <si>
    <t>La Orotava, España</t>
  </si>
  <si>
    <t>De Podemos. No insulto. Vale! igual me río. Lógica simple. Tampoco doy para más. Frases cortas</t>
  </si>
  <si>
    <t>ElDoctorMabuse</t>
  </si>
  <si>
    <t>Es como de película cómica, pero se podría investigar por la @guardiacivil o la @policia @carloscuestaEM @VidalQuadras @monasterioR @Vox_Pozuelo @vox_es @Santi_ABASCAL @CristinaSegui_ @FSerranoCastro @hermanntertsch @carlosherreracr @cakealatake @Intereconomia @AsisTimermans</t>
  </si>
  <si>
    <t>https://pbs.twimg.com/media/DtwSsbsWoAASqSQ.jpg</t>
  </si>
  <si>
    <t>Londres, Milán, Viena, París</t>
  </si>
  <si>
    <t>Medicina y Derecho son mi vida. Crítico de cíne y autor. Dirigí el El Laboratorio del Dr Mabuse de RNE1. Escribí en Música de Cine, Sala1 y Preview entre otras.</t>
  </si>
  <si>
    <t>http://laboratorio-mabuse.blogspot.com/</t>
  </si>
  <si>
    <t>Roberto Sánchez</t>
  </si>
  <si>
    <t>Gobierno de España: Ilegalizar a PODEMOS por inconstitucional e incitación al odio. - ¡Firma la petición!  vía @change_es @vox_es @Taxitronco @Alfonbay @VoxSalamanca @Santi_ABASCAL</t>
  </si>
  <si>
    <t>http://chng.it/Fjcf7qF7</t>
  </si>
  <si>
    <t>Seguidor acérrimo de la NBA, la F1 y el Fútbol. De los Knicks, Pistons y Culé. Derecho en la USAL. VOX 🇪🇸🇪🇸🇪🇸 Youtube: RoberSR</t>
  </si>
  <si>
    <t>Francisco R. R.</t>
  </si>
  <si>
    <t>Lo llamaran de extrema derecha los grandes "defensores de la democracia" que tenemos en el parlamento, pero habla alto y claro del robo que nos han hecho. Gracias para mi es usted democrata y se merece mi respeto señor @Santi_ABASCAL #EstafaBancoPopular</t>
  </si>
  <si>
    <t>https://gaceta.es/noticias/reflexion-abascal-confiscacion-banco-popular-08062017-1410/</t>
  </si>
  <si>
    <t>Zaragoza, Teruel, Peñiscola. E</t>
  </si>
  <si>
    <t>Español ante todo, pero ni facha ni ultra izquierda, simplemente persona !! Bloqueo a todos los que se metan conmigo o me insulten, sean d derecha o d izquierda</t>
  </si>
  <si>
    <t>http://www.web.com/y/muchas/abengoas</t>
  </si>
  <si>
    <t>Nacho S.</t>
  </si>
  <si>
    <t>Hace falta ser muy miserable para llamar fascistas a Santi Abascal y Ortega Lara, dos personas que sí han sido golpeadas duramente por el totalitarismo. El mismo totalitarismo de los amigos de estos que se hacen llamar antifascistas. RT @Paco_Glez_: Al padre de Santiago Abascal le llegaron varias de éstas. A todos esos valientes antifascistas me gusta imaginármelos recibiendo una de éstas la semana siguiente de enterrar a compañeros y amigos asesinados.</t>
  </si>
  <si>
    <t>https://twitter.com/Paco_Glez_/status/1070695921762164736</t>
  </si>
  <si>
    <t>https://pbs.twimg.com/media/DtvgQ3BW4AAPjBO.jpg</t>
  </si>
  <si>
    <t>Tabarnia, Vasconia y Riberna</t>
  </si>
  <si>
    <t>Lu_Fe</t>
  </si>
  <si>
    <t>Mi mando es de #vox ... Será de #ultraderecha ? (clave de humor) @Santi_ABASCAL @vox_es</t>
  </si>
  <si>
    <t>https://pbs.twimg.com/media/DtwRhEhXcAAme0L.jpg</t>
  </si>
  <si>
    <t>en algún lugar del mundo ...</t>
  </si>
  <si>
    <t>En un Lugar de La Mancha, de cuyo nombre no quiero acordarme,no ha mucho tiempo que vivia un hidalgo de los de lanza en astillero,adarga antigua,rocin flaco....</t>
  </si>
  <si>
    <t>Lo que menos me esperaba era ver una entrevista de @anarosaq dejando retratadisimo a @Santi_ABASCAL. Hasta ella...</t>
  </si>
  <si>
    <t>Rebeca Mateos</t>
  </si>
  <si>
    <t>Mentiras que alimentan el racismo y la xenofobia. Señor @Santi_ABASCAL , discúlpeme pero el Estado nos debería proteger a las mujeres contra tipos como usted. Lo digo en base a su propio programa político al que le sobre la Ley contra la Violencia de Género. RT @RubenSanchezTW: Así miente @Santi_Abascal para sembrar su odio a los inmigrantes: "Las mujeres asesinadas en España lo han sido, mayoritariamente, a manos de extranjeros". Es falso. 7 de cada 10 asesinatos fueron cometidos por españoles en los últimos cinco años.</t>
  </si>
  <si>
    <t>https://twitter.com/RubenSanchezTW/status/1070405611295334402
https://newtral.es/fact-check/santiago-abascal-las-mujeres-asesinadas-en-espana-han-sido-mayoritariamente-a-manos-de-extranjeros/</t>
  </si>
  <si>
    <t>Buenos Aires, Argentina</t>
  </si>
  <si>
    <t>Periodista española independiente. Escribo sobre temas con enfoque de género y Derechos Humanos. Amo la poesía.</t>
  </si>
  <si>
    <t>JCHF</t>
  </si>
  <si>
    <t>Vox rechaza cargos en el Gobierno andaluz pero pide a PP y Ciudadanos devolver las competencias en Sanidad y Educación y el cierre de Canal Sur 💪👌👍 Totalmente con Vds., @Santi_ABASCAL</t>
  </si>
  <si>
    <t>No pelea el Número sino el Ánimo, No Vencen los Muchos sino los VALIENTES</t>
  </si>
  <si>
    <t>CURIOSA COINCIDENCIA ENTRE LOS PROGRAMAS ELECTORALES DE MARINE LE PEN Y PODEMOS @carloscuestaEM @VidalQuadras @Vox_Pozuelo @vox_es @monasterioR @AsisTimermans @lbalcarce @CristinaSegui_ @thecentenator @Intereconomia @isanseba @FSerranoCastro @Santi_ABASCAL @Ortega_Smith</t>
  </si>
  <si>
    <t>https://pbs.twimg.com/media/DtwL_o1WsAAqjnq.jpg</t>
  </si>
  <si>
    <t>Juanma Parra</t>
  </si>
  <si>
    <t>Para cuando @Santi_ABASCAL en ciudad real capital. Hay mucha gente intentando despertar del suplicio izquierdista. Es @vox_es de extrema....NECESIDAD👏👏👏.</t>
  </si>
  <si>
    <t>Ciudad Real-España</t>
  </si>
  <si>
    <t>Manager General en Nekanfruit 🍉🍉. Futbolero...Merengue y del Manchego de Ciudad Real.👏👏</t>
  </si>
  <si>
    <t>DamiánOliverBenlloch</t>
  </si>
  <si>
    <t>Santiago Abascal en estado puro: sus peores frases  Madre mia no sabia quien era este “fenómeno”. Me hago una idea en seis minutos🤔🙃😳😨</t>
  </si>
  <si>
    <t>Ser... Saber... No poseer...</t>
  </si>
  <si>
    <t>Cabreados 24h : @pablocasado_: 1716 @Albert_Rivera: 3414 @Pablo_Iglesias_: 7821 @sanchezcastejon: 4727 @Santi_ABASCAL: 12422</t>
  </si>
  <si>
    <t>https://pbs.twimg.com/media/DtwH1xeW0AAq0pG.png</t>
  </si>
  <si>
    <t>P.P.P.</t>
  </si>
  <si>
    <t>Que alguien explique al imbécil de @pnique que en el caso de que @Santi_ABASCAL llevara pistola —que yo no lo sé— sería principalmente debido a que los amigos etarras de Echeminga y @Pablo_Iglesias_ se la tienen jurada desde hace años tanto a él cómo a su familia. Miserable... RT @lbalcarce: La cara que se le queda a 'Echeminga' cuando Ferreras le recuerda que Anguita también llevaba pistola no tiene precio.</t>
  </si>
  <si>
    <t>Español por los cuatro costados</t>
  </si>
  <si>
    <t>El Vengador Ciego</t>
  </si>
  <si>
    <t>A mamarla, @Santi_ABASCAL #Fascistas #fascismo #fascismonuncamás</t>
  </si>
  <si>
    <t>Dr. Philip Perlmutter</t>
  </si>
  <si>
    <t>Obrero ☭ 🔻 💯</t>
  </si>
  <si>
    <t>A @Santi_ABASCAL, de 42 años, gente que le conoce bien, le califican de un vividor al que le gusta la buena vida, las armas, y el ocio lujoso. Desde 1999, con 23 añitos, vive del dinero público, sin oposiciones, y sin másteres, que no los necesita</t>
  </si>
  <si>
    <t>https://www.nuevatribuna.es/opinion/ramon-hdez-de-avila/contradicciones-facha/20181205140324158167.html</t>
  </si>
  <si>
    <t>Moscú, URSS</t>
  </si>
  <si>
    <t>El alma COMUNISTA, la expresión última o más perfecta de la solidaridad - Maestro PT - Comunista - M/L #SaharaLibre #RASD #NoalTTIP #OTANNO #IIIREPÚBLICA</t>
  </si>
  <si>
    <t>ExIndepe 🇪🇸🇪🇺</t>
  </si>
  <si>
    <t>No hay nada, NADA en este vídeo que relacione a esa mujer con @vox_es. Si yo fuera @Santi_ABASCAL te denunciaría por insinuar tal cosa. RT @mugiwarasens: MÁXIMA DIFUSIÓN ,esto ha pasado en Archena (Murcia), si este es el racismo que queremos tener con VOX de por medio yo no sé qué pensar ya de este tipo de gente</t>
  </si>
  <si>
    <t>https://twitter.com/mugiwarasens/status/1070056571089154048</t>
  </si>
  <si>
    <t>pic.twitter.com/jkR7lBE4GT</t>
  </si>
  <si>
    <t>Cataluña, España, EU</t>
  </si>
  <si>
    <t>ExIndepedentista. Segundo lateral derecho suplente del #TeamFacha</t>
  </si>
  <si>
    <t>Alejandro Bravo</t>
  </si>
  <si>
    <t>Como me quites a Juan y medio te busco @Santi_ABASCAL RT @20m: 📢 #ÚltimaHora | Abascal exigirá a cambio de su apoyo "cerrar Canal Sur" y quitar la expresión "realidad nacional' del Estatuto</t>
  </si>
  <si>
    <t>https://twitter.com/20m/status/1070367384412872704
http://ver.20m.es/6w4lu2</t>
  </si>
  <si>
    <t>ESPEJO (Córdoba), Andalucía.</t>
  </si>
  <si>
    <t>Cordobesista de corazón. Sufriendo cada dos domingos en el fondo sur del Arcángel 💚</t>
  </si>
  <si>
    <t>Ahora que todo pasa muy deprisa, no está de más echar la vista al pasado... bueno, tampoco tan lejos; pero no muchos creían a @Santi_ABASCAL, que lo venía avisando porque tenía bien tomado el pulso a la campaña. Que alguien le pregunte qué ve venir de cara a las europeas de mayo RT @COPE: .@Santi_ABASCAL, de @vox_es, en @HerreraenCOPE: "Vamos a obtener más escaños en Andalucía de lo que se dice" #AbascalEnCOPE</t>
  </si>
  <si>
    <t>https://twitter.com/COPE/status/1067351072409378816
http://ww.cope.es/jkhgt2</t>
  </si>
  <si>
    <t>Vera S.</t>
  </si>
  <si>
    <t>Cartas como esta recibía la familia de @Santi_ABASCAL , así como otras tantas familias. Y os hacéis fotos con Otegi. Y pactáis con filoterroristas y separatistas. Y lo queréis echar de unas elecciones democráticas Iros un rato al cuerno.</t>
  </si>
  <si>
    <t>https://pbs.twimg.com/media/DtwC_vLW0AIds7z.jpg</t>
  </si>
  <si>
    <t>Barcelona (España)</t>
  </si>
  <si>
    <t>Traductora e intérprete. Ciudadana del mundo. Desde Cataluña, en lucha constante por una sociedad libre de separatismos.</t>
  </si>
  <si>
    <t>francisco jose faus</t>
  </si>
  <si>
    <t>Grande @Santi_ABASCAL grandes respuestas😈 RT @vox_es: 📺 ¿Es VOX un partido inconstitucional? @Santi_ABASCAL responde en dos minutos a @anarosaq en @elprogramadear #40AñosDeConstitución #DíaDeLaConstitución</t>
  </si>
  <si>
    <t>Melilla, España</t>
  </si>
  <si>
    <t>🙊🙉🙈</t>
  </si>
  <si>
    <t>J. A. Serrano</t>
  </si>
  <si>
    <t>Esta es mi patria, @Santi_ABASCAL Ascienden a 119 los inmigrantes rescatados este jueves en tres pateras en aguas de Alborán por @salvamentogob  vía @epandalucia</t>
  </si>
  <si>
    <t>https://www.europapress.es/andalucia/almeria-00350/noticia-ascienden-119-inmigrantes-rescatados-jueves-tres-pateras-aguas-alboran-20181206180208.html</t>
  </si>
  <si>
    <t xml:space="preserve">Al otro lado del Paraíso </t>
  </si>
  <si>
    <t>«“Nadie es más que nadie”... porque, por mucho que un hombre valga, nunca tendrá valor más alto que el de ser hombre». Antonio Machado: 'Juan de Mairena'.</t>
  </si>
  <si>
    <t>http://jaserrano.me</t>
  </si>
  <si>
    <t>Hebert Perez Piña</t>
  </si>
  <si>
    <t>Venezolano. Amante de la Libertad y la Justicia, firme anticomunista y DE DERECHA #Liberal SIN TAPUJOS. Fanático de la PIZZA, de Star Wars y Harry Potter.</t>
  </si>
  <si>
    <t>Luz</t>
  </si>
  <si>
    <t>Para los que acusan a @Santi_ABASCAL y su partido @vox_es de fascista y otras lindezas, aquí la evidencia de quienes realmente lo eran. Malnacidos entonces y malnacidos en la actualidad, los asesinos y políticos en connivencia con ellos.</t>
  </si>
  <si>
    <t>https://pbs.twimg.com/media/DtwBeVJWoAAAFJH.jpg</t>
  </si>
  <si>
    <t>Analista política, escritora,#Opinión #Liberal @madridcode @madridaldia Radio @HdeLibertad Autora entre otras obras d; #LaTramaDeLosTramoyistas #HechosyDichos.</t>
  </si>
  <si>
    <t>http://www.LuzTrujillo.com</t>
  </si>
  <si>
    <t>Daniel Portero</t>
  </si>
  <si>
    <t>Este es @Santi_ABASCAL . Los que hemos sufrido por @ehbildu_herriak ETA y sus cómplices @eajpnv @ahorapodemos sabemos lo que es resistir el insulto y q te llamen facha o de “extrema derecha”. Dignidad y Justicia también es de “extrema necesidad”</t>
  </si>
  <si>
    <t>Ingeniero de Caminos. Presidente de Dignidad y Justicia</t>
  </si>
  <si>
    <t>SabatoFan</t>
  </si>
  <si>
    <t>Estoy convencido de que @sanchezcastejon no se cree los abucheos que cada vez con mayor frecuencia le profieren los españoles. Hoy creo que pensaba que eran para Ana Pastor, para Garrido o incluso para Santi Abascal que no estaba en la ceremonia. Es así de estúpido</t>
  </si>
  <si>
    <t>I = D + D (Izquierda = Demagogia + Despilfarro)</t>
  </si>
  <si>
    <t>Luis Beltri Baudet</t>
  </si>
  <si>
    <t>Sé que @Santi_ABASCAL miente a sabiendas, porque él tiene los datos, pero la verdad le jodería un slogan electoral. Pero por si acaso alguno de mis lectores no lo sabe 👇👇</t>
  </si>
  <si>
    <t>https://pbs.twimg.com/media/DtwAIXdXQAEduoQ.jpg</t>
  </si>
  <si>
    <t>Padre de Inés, Sara y Pablo. Feminista, ecologista, socialista y deportista. Vicesecretario @PSOESantaCruzTF. Junta directiva @RFEVB. Del @CVHaris</t>
  </si>
  <si>
    <t>Gonzalo</t>
  </si>
  <si>
    <t>La crisis trajo a @Pablo_Iglesias_ y @ahorapodemos al panorama político Español, y @ahorapodemos y @Pablo_Iglesias_ trajeron a @Santi_ABASCAL y @vox_es .</t>
  </si>
  <si>
    <t>Coruña,España,Europe 🇪🇸🇪🇺</t>
  </si>
  <si>
    <t>❤️@lauritar94❤️</t>
  </si>
  <si>
    <t>Cuando les digan que @Santi_ABASCAL lleva toda la vida chupando de la política, pónganles este vídeo. Pocas veces verán un sueldo mejor ganado. RT @Odin237: Aquí tenemos a Santiago Abascal y su padre en Llodio, el alcalde etarra condenado por colab on ETA a 8 años de prisión, solos y rodeados de abertzales. 🤔🇪🇸</t>
  </si>
  <si>
    <t>https://twitter.com/Odin237/status/1070407974341013504
https://youtu.be/S8_g6JS2z24</t>
  </si>
  <si>
    <t>Roberto</t>
  </si>
  <si>
    <t>Hola @anarosaq dijiste a @Santi_ABASCAL que no había denuncias falsas ni asesinatos a hombres... Toma ejemplo si quieres otro te lo comento RT @BenemeritosGC: “Denuncié falsamente a mi marido para cobrar una ayuda”. Estas conductas son las que quiere evitar @vox_es. Se trata de proteger a las mujeres contra violencia masculina y proteger a los hombres frente a este tipo de conductas, que aunque sean en menor medida, también EXISTEN.</t>
  </si>
  <si>
    <t>Badajoz, España</t>
  </si>
  <si>
    <t>Así es el 'Objetivo 17' del Pacto Global de la ONU para la Migración que firmará Sánchez: Será delito rechazar la inmigración ilegal  @vox_es @Santi_ABASCAL @voxnoticias_es @ivanedlm @Ortega_Smith</t>
  </si>
  <si>
    <t>https://eldebate.es/identidad/los-peligros-del-silencioso-pacto-global-de-la-onu-para-la-migracion-20181128?utm_medium=social&amp;utm_source=twitter&amp;utm_campaign=shareweb&amp;utm_content=footer&amp;utm_origin=footer</t>
  </si>
  <si>
    <t>L. Curiel</t>
  </si>
  <si>
    <t>Claro, rufián, y los CDR que han reventado el acto de homenaje a la CE y herido a 17 Mossos eran unos benditos demócratas ¿verdad? Malo será que no te caiga una querella por instigacion al odio e insultos graves a un colectivo @gabrielrufian @Santi_ABASCAL @Ortega_Smith RT @gabrielrufian: Si no estás prevenido ante los medios de comunicación te harán creer que un grupo de fascistas, xenófobos y racistas que se han juntado hoy en Girona bajo las siglas de VOX son unos afables constitucionalistas.</t>
  </si>
  <si>
    <t>https://twitter.com/gabrielrufian/status/1070693716267069440
https://twitter.com/efenoticias/status/1070687276068421632?s=21</t>
  </si>
  <si>
    <t>España languidece y se rompe por culpa de una Casta Política corrupta. Es hora de cambiarla por gente decente: Con VOX</t>
  </si>
  <si>
    <t>Sr. Presidente @sanchezcastejon, pide seguridad a Torra para los días 21 y 22D. Los ciudadanos no tenemos derecho á ella y vivir en paz? Imponga un 155 duro y termine con esta guerra!!! Sea un hombre de una vez!! @Defensagob @Albert_Rivera @pablocasado_ @Santi_ABASCAL @CasaRea RT @arturelpayaso2: Radicales independentistas, los amigos de Quim Torra y Puigdemont, agreden salvajemente a Álvaro de Marichalar, quien tuvo que huir para no ser linchado. Cataluña está en guerra, y quien no lo vea, que se lo haga mirar.</t>
  </si>
  <si>
    <t>Primo del Rivera</t>
  </si>
  <si>
    <t>A ver @Santi_ABASCAL, te va a resultar difícil competir con @CiudadanosCs para soltar tu mierda de propaganda falsa generadora de odio .. @Albert_Rivera lleva más tiempo que tú en el parnorama nacional como líder, entiéndeme.</t>
  </si>
  <si>
    <t>https://pbs.twimg.com/media/Dtv4gL0X4AAPZOv.jpg</t>
  </si>
  <si>
    <t>Primo del Líder Supremo de Españistán; el Generalísimo Albert Rivera. Creador del blog kKdiaria (https://kkdiaria.blogspot.com).</t>
  </si>
  <si>
    <t>http://elmundotalcomovapd.blogspot.com.es</t>
  </si>
  <si>
    <t>Pedro C. Castillo</t>
  </si>
  <si>
    <t>Pue estas serán las propuestas que @Santi_ABASCAL @vox_es exigirá para dar su apoyo al candidato a presidir la Junta de Andalucía.... @JuanMa_Moreno @JuanMarin_Cs</t>
  </si>
  <si>
    <t>https://youtu.be/DxmALO-ucZk</t>
  </si>
  <si>
    <t>Abogalypse Now</t>
  </si>
  <si>
    <t>Este gay no quiso ser amigo de @Santi_ABASCAL RT @elmundocv: 🔴#ÚltimaHora Hallan muerto a golpes en su casa al primer presidente del colectivo Lambda en Valencia</t>
  </si>
  <si>
    <t>https://twitter.com/elmundocv/status/1070663367097024512
https://buff.ly/2KXLZjm</t>
  </si>
  <si>
    <t>https://pbs.twimg.com/media/DtvCqIGXQAECz6F.jpg</t>
  </si>
  <si>
    <t>Rock'n'Roll Bastard, #T roublemaker Lawyer, Guitar Player, Street Fighter, Beermeister and Sane until proven otherwise.</t>
  </si>
  <si>
    <t>http://www.birraybarbarie.blogspot.com</t>
  </si>
  <si>
    <t>José Marcos</t>
  </si>
  <si>
    <t>En 2013 adelantamos en @el_pais que la Comunidad de Madrid financiaba a Fundación para el Mecenazgo y el Patrocinio Social, sin actividad conocida, en la que @Santi_ABASCAL, líder de @vox_es contrario al Estado autonómico, cobraba 83.000 euros anuales</t>
  </si>
  <si>
    <t>https://bit.ly/2QAnHBw</t>
  </si>
  <si>
    <t>Periodista del diario El País. Nacional. Fogueado y curtido en Deportes y Madrid. jmarcos@elpais.es Instagram: marcosgarciajose</t>
  </si>
  <si>
    <t>http://elpais.com/autor/jose_marcos/a</t>
  </si>
  <si>
    <t>una de Madrid</t>
  </si>
  <si>
    <t>SI, SOY DE DERECHAS, Y QUÉ? #VOX✌</t>
  </si>
  <si>
    <t>Verdadera Derecha</t>
  </si>
  <si>
    <t>Hola @monasterioR @Ortega_Smith @FSerranoCastro @Santi_ABASCAL @canasporespana Estamos empezando con esta cuenja. ¿nos ayudáis a difundir? Gracias.</t>
  </si>
  <si>
    <t>Rincón de los que prefieren la derecha frente al centro-derecha. No somos ultras ni fascistas, pero tampoco nos acobarda que nos lo llamen.</t>
  </si>
  <si>
    <t>Alber</t>
  </si>
  <si>
    <t>Echeminga .@pnique desprecia a las victimas del terrorismo que han luchado contra la serpiente etarra y han sufrido desde chavales como .@Santi_ABASCAL la amenaza de muerte de los totalitarios. Casi 900 españoles asesinados. Y .@ahorapodemos insultándoles. ¡Ruines y miserables! RT @lbalcarce: La cara que se le queda a 'Echeminga' cuando Ferreras le recuerda que Anguita también llevaba pistola no tiene precio.</t>
  </si>
  <si>
    <t>León-Valencia. Reino de ESPAÑA</t>
  </si>
  <si>
    <t>Ingeniero superior y licenciado en ciencias ambientales. Liberal &amp; conservador 🇪🇸Español🇪🇸 🦁leonés🦁 🇪🇺europeo🇪🇺 👑 V.E.R.D.E.</t>
  </si>
  <si>
    <t>Comparto 100% lo comentado por @Santi_ABASCAL @vox_es #Andalucia , no entiendo que legitimidad tiene el Sr. @manuelvalls para impedir q en #Andalucia se pacte con @vox_es ya q, los Andaluces queremos CAMBIO inmediato y no meros parches o promesas. @JuanMa_Moreno @JuanMarin_Cs RT @vox_es: 🚨 Rueda de prensa de @Santi_ABASCAL ⤵ 🗨 "Queremos reformar el Estatuto andaluz para que esta comunidad sea pionera en devolver competencias". 🗨 "No tenemos voluntad de entrar en el Gobierno, no queremos consejerías, ni sillones, ni presidir el Parlamento".</t>
  </si>
  <si>
    <t>https://twitter.com/vox_es/status/1070393579317673992</t>
  </si>
  <si>
    <t>pic.twitter.com/sQQQMtGvUc</t>
  </si>
  <si>
    <t>VanessaVallejo</t>
  </si>
  <si>
    <t>. @vox_es @Santi_ABASCAL y el cambio en España</t>
  </si>
  <si>
    <t>pic.twitter.com/PHf8HIrHas</t>
  </si>
  <si>
    <t>Bogotá, Colombia</t>
  </si>
  <si>
    <t>Economista, columnista y paleolibertaria. PanAm Post. La Hora de La Verdad. Derecha dura. Reaccionaria</t>
  </si>
  <si>
    <t>Hola, @pnique ¿Sabes por qué @Santi_ABASCAL llevaba (que no lleva) pistola? Porque vuestros socios de gobierno le querían matar a él y a su familia. Así que cállate, que estás más guapo. RT @pnique: Pablo Casado y Albert Rivera dicen que los que subimos el salario mínimo a 900€ somos los peligrosos. Que ellos van a gobernar en Andalucía con gente muy maja cuyo líder lleva pistola y es apoyado por los que asesinan gente por el color de su piel.</t>
  </si>
  <si>
    <t>https://twitter.com/pnique/status/1069933919762563072
https://www.eldiario.es/rastreador/Klux-Klan-Vox-Reconquista-Andalucia_6_842775724.html</t>
  </si>
  <si>
    <t>a£b€r</t>
  </si>
  <si>
    <t>Tu tambien te ha creido que todo lo que promete @Santi_ABASCAL lo va a cumplir si llegase al poder??</t>
  </si>
  <si>
    <t>pic.twitter.com/3qLHiLuJAJ</t>
  </si>
  <si>
    <t>sevillista y cofrade.musico de la banda de ccytt rosario y victoria.CAMINO,VERDAD Y VIDA</t>
  </si>
  <si>
    <t>VOX Tetuán con la Constitución española en su cuarenta aniversario #40anosdeconstitucion #EspanaViva @TetuanVox @Santi_ABASCAL @voxnoticias_es @madrid_vox @fdenaes</t>
  </si>
  <si>
    <t>https://pbs.twimg.com/media/Dtvxz2DW4AAoCQw.jpg</t>
  </si>
  <si>
    <t>SergioAntonio</t>
  </si>
  <si>
    <t>🇪🇸 @Santi_ABASCAL "ni somos fascistas ni antifascistas somos antipodemitas y anticomunistas". 😂😂. 👍👍. 💪🏾💪🏾</t>
  </si>
  <si>
    <t>https://pbs.twimg.com/media/DtvwjA0WkAADOc-.jpg</t>
  </si>
  <si>
    <t>Lopasuj 👁‍🗨</t>
  </si>
  <si>
    <t>Ya empezamos a cogear @Santi_ABASCAL algo no va bien 👁‍🗨 Que la #EquiparacionYa que apoya no se vaya perdiendo durante el crecimiento de su partido #EquiparacionYa #ILPJusapol @jusapol</t>
  </si>
  <si>
    <t>https://pbs.twimg.com/media/DtvwP-6WwAM0hv3.jpg</t>
  </si>
  <si>
    <t>Comunidad de Madrid, España</t>
  </si>
  <si>
    <t>#EquiparacionYA #ProhibidoRendise #ILPJusapol #EnEstaFamiliaNadieLuchaSolo</t>
  </si>
  <si>
    <t>rocio</t>
  </si>
  <si>
    <t>Un héroe es lo q es @Santi_ABASCAL, él y otros tantos que sufrieron en sus propias vidas la crueldad de ETA. Sólo tengo palabras d agradecimiento para ellos. Gracias x hacer a esta España mejor... @vox_es</t>
  </si>
  <si>
    <t>https://pbs.twimg.com/media/DtvwMoOX4AI0nKo.jpg</t>
  </si>
  <si>
    <t>spain</t>
  </si>
  <si>
    <t>FormulaTV</t>
  </si>
  <si>
    <t>La rivalidad entre @jordiveole y @Santi_ABASCAL continuará en el próximo reportaje de #Salvados, dedicado a VOX</t>
  </si>
  <si>
    <t>https://frml.tv/86743</t>
  </si>
  <si>
    <t>https://pbs.twimg.com/media/DtvwAgLW0AA9KNS.jpg</t>
  </si>
  <si>
    <t>El Twitter oficial de Formula TV, el portal líder de televisión en español. Todo sobre series y programas en nuestro Twitter.</t>
  </si>
  <si>
    <t>http://www.formulatv.com</t>
  </si>
  <si>
    <t>F. Fuster-Fabra Fdz.</t>
  </si>
  <si>
    <t>.@vox_es, la ambición de @Santi_ABASCAL - CCMA</t>
  </si>
  <si>
    <t>https://www.ccma.cat/tv3/alacarta/sense-ficcio/vox-la-ambicion-de-santiago-abascal/video/5803455/#.XAlJ_cBtgzV.twitter</t>
  </si>
  <si>
    <t>Industrial engineer focused on strategic organisation, communications and human relations http://fernandofusterfabra.wordpress.com/</t>
  </si>
  <si>
    <t>http://thoughtspensamientos.wordpress.com/</t>
  </si>
  <si>
    <t>Sergei L. Brandoni</t>
  </si>
  <si>
    <t>Pues quizá @vox_es tenga sitio en Galicia. @Santi_ABASCAL @ivanedlm @Ortega_Smith @AbeInfanzon @monasterioR no nos dejéis solos. RT @_Lord_Roxton: @hermanntertsch Sin quizás, señor Tertsch, sin quizás: es una certeza matemática en una región donde la gente de orden ha tenido que tragar toneladas de orgullo refugiándose en un PP jugando a nacionalista, inmersión lingüística incluída. O eso, o PSOE-Podemos-Bloque. No había opción: ya la hay.</t>
  </si>
  <si>
    <t>https://twitter.com/_Lord_Roxton/status/1070623852085084160</t>
  </si>
  <si>
    <t>Ferrol</t>
  </si>
  <si>
    <t>Ferrolano., español, católico y soñador. https://www.facebook.com/profile.php?id=100007909083442</t>
  </si>
  <si>
    <t>https://niebladebrandoni.blogspot.com.es/?m=1</t>
  </si>
  <si>
    <t>🐟PontippexVivaelRey</t>
  </si>
  <si>
    <t>El canal preferido de @Santi_ABASCAL es El KlanTV #VoxysusCosasFachas</t>
  </si>
  <si>
    <t>Magpie Harbour</t>
  </si>
  <si>
    <t>Artista de Culito. (Soy el acento rojo de La Razón). DICIENDO DIA POR CIENTO DESDE 1989.</t>
  </si>
  <si>
    <t>Don Pelayo</t>
  </si>
  <si>
    <t>Cuando oigas o leas a alguien llamar fascista o ultraderecha a @Santi_ABASCAL , ten en cuenta q quien se lo llama son amigos de los q le enviaron esta carta a su padre. A él le vas a explicar lo q es el fascismo?? #40AñosdeConstitución #DíaDeLaConstitución #ConstitucionEspanola</t>
  </si>
  <si>
    <t>https://pbs.twimg.com/media/Dtvt1UjWoAI8uCq.jpg</t>
  </si>
  <si>
    <t>Reconquistando España. Siglo VIII - XXI #DefiendeEspaña 🇪🇸 #AsturiasDefiendeEspaña</t>
  </si>
  <si>
    <t>Carta De Don @Santi_ABASCAL a Pablo Iglesias.</t>
  </si>
  <si>
    <t>https://pbs.twimg.com/media/Dtvr0nUXcAI9O8E.jpg</t>
  </si>
  <si>
    <t xml:space="preserve">Talavera de la Reina // </t>
  </si>
  <si>
    <t>Rocío ❤️</t>
  </si>
  <si>
    <t>http://i.instagram.com/javifuentes99/</t>
  </si>
  <si>
    <t>La verdadera justicia social es aquella que procura el mayor respeto a los derechos individuales a la vida y al trabajo digno. A una decorosa pensión a los jubilados y la libertad para expresar sus creencias e ideas sin censura y sin imposiciones. @FJL_EsRadio @Santi_ABASCAL</t>
  </si>
  <si>
    <t>Los políticos honestos son los que creen en la democracia y profesan la verdad y el respeto a la leyes sobre todo a la ley primera de la sociedad moderna. Los que construyendo confianza sirven con honestidad a los ciudadanos. @FJL_EsRadio @monasterioR @Santi_ABASCAL @Ortega_Smith</t>
  </si>
  <si>
    <t>Venancio Gómez Carrasco ⛖</t>
  </si>
  <si>
    <t>Esta es la violencia que provocan los colegas de Podemos contra @vox_es y @Santi_ABASCAL. A estos anarcocomunistas se les va a acabar el chollo. Los españoles no vamos a tolerar que conviertan nuestro país en un cuchitril castrista.</t>
  </si>
  <si>
    <t>pic.twitter.com/30na8ebbZu</t>
  </si>
  <si>
    <t>Antiguo docente de Historia y Literatura. Hablo bastante de política y molesto.</t>
  </si>
  <si>
    <t>Alfredo Perdiguero M. 🇪🇸</t>
  </si>
  <si>
    <t>Esta carta se la envío #ETA al padre de .@Santi_ABASCAL cuando le solicitaban el impuesto revolucionario. Ahora los amigos de los que enviaban estas cartas, le llaman fascista por ser lider de .@vox_es ¿Quiénes son los fascistas? RT @hermanntertsch: Mientras los Abascal recibían cartas como esta, otros se dedicaban a las loas a ETA y al FRAP, ayudaban todo lo que pudieran a las estructuras etarras y hoy corean los llamamientos a la violencia de los comunistas de Podemos.</t>
  </si>
  <si>
    <t>Subinspector de Policía Nacional. Luchando por una Policía más justa y contra tanta injusticia.</t>
  </si>
  <si>
    <t>http://www.sipepol.es</t>
  </si>
  <si>
    <t>Aday Quesada</t>
  </si>
  <si>
    <t>Fascismo en estado puro el de @Santi_ABASCAL para ello seguro que son enfermos @vox_es @elprogramadear Yo apoyo #LGTB el amor es amor se de entre personas del mismo sexo o no. RT @elprogramadear: .@Santi_ABASCAL : "El matrimonio es la unión entre un hombre y una mujer" @vox_es #AbascalAR</t>
  </si>
  <si>
    <t>Gran Canaria 🌞 100% Canarion ⚽ animalista y Antitaurino 🐂 Ateo / Potterhead de Slytherin 🐍💚 Patronus: Goshawk</t>
  </si>
  <si>
    <t>https://www.facebook.com/adayQG?fref=ts</t>
  </si>
  <si>
    <t>JOTAERRE D LA GHETTO</t>
  </si>
  <si>
    <t>Según el sociópata @santi_ABASCAL el "lobby LGTB" no representa a todas las personas LGTB. Las personas que realmente representan a las LGTB son las cuatro LGTB sin conciencia de clase que votan a vox.</t>
  </si>
  <si>
    <t>ARTIST &amp; Ineco Founder. 1'7%</t>
  </si>
  <si>
    <t>Asturias con @Santi_ABASCAL</t>
  </si>
  <si>
    <t>https://www.lne.es/asturias/2018/12/04/efecto-vox-multiplica-asturias-dias/2391325.html</t>
  </si>
  <si>
    <t>Una de las cosas que el diputado Iglesias debería aprender en democracia durante la campaña electoral se puede decir muchas cosas pero una vez terminada la campaña electoral debe primar la sobriedad y el respeto por los votantes. @FJL_EsRadio @Ortega_Smith @Santi_ABASCAL</t>
  </si>
  <si>
    <t>Fidel Fortes</t>
  </si>
  <si>
    <t>Imaginad por un momento la imagen de Santi Abascal a caballo entrando por Puerta del Mar camino a Casa Aranda.</t>
  </si>
  <si>
    <t>Buscando a ver si me encuentro.</t>
  </si>
  <si>
    <t>🍏Mina Ngokwami we Tabarnia EXTREMA DERECHA🇪🇸</t>
  </si>
  <si>
    <t>Cuando SANTI ABASCAL (VOX) visitó el pueblo más COMUNISTA de ESPAÑA: Mar...  vía @YouTube</t>
  </si>
  <si>
    <t>https://youtu.be/86Q_Q7v0RZk</t>
  </si>
  <si>
    <t>Camprodon, Gerona, España</t>
  </si>
  <si>
    <t>¿Support Appelle Dígame? Consulta tus dudas, conecta con Siry, saca el mayor partido a tu 📱</t>
  </si>
  <si>
    <t>http://www.amanecequenoespoco.com</t>
  </si>
  <si>
    <t>¡No es verdad pero aunque lo fuera 20 años de ventaja que le llevan los ladrones como vosotros en Andalucía! ¡Hasta aquí llegásteis.!🇪🇸🇪🇸🇪🇸🇪🇸🇪🇸¡VIVA @vox_es @Santi_ABASCAL y la madre que lo parió! RT @pnique: Abascal lleva 20 años chupando del bote y la corrupta Esperanza Aguirre le pagaba 80.000€ al año por vivir del cuento. Por eso quiere que odies a las feministas, a los inmigrantes y a los catalanes. Para que se te olvide que es Gürtel PP pata negra.</t>
  </si>
  <si>
    <t>El podemita Echenique compara a Santi Abascal con 'Torrente' y las redes lo fulminan... Pobre Argentino... Está afectado de envidia. Y amargor  vía @Periodistadigit</t>
  </si>
  <si>
    <t>Diario SUR</t>
  </si>
  <si>
    <t>El presidente de #Vox, @Santi_ABASCAL, incluye entre las condiciones para su apoyo a un gobierno de #PP y #Ciudadanos en #Andalucía el cierre de Canal Sur. Informa @lolatortosa</t>
  </si>
  <si>
    <t>https://www.diariosur.es/elecciones/andaluzas/exige-cerrar-canal-20181206132616-nt.html#ns_campaign=gs-ms&amp;ns_mchannel=diariosur&amp;ns_source=tw&amp;ns_linkname=ltl</t>
  </si>
  <si>
    <t>#Noticias de #últimahora de #Málaga, España y el mundo. En WhatsApp ☎ 660481739.</t>
  </si>
  <si>
    <t>http://www.diariosur.es</t>
  </si>
  <si>
    <t>Alba H.Santana</t>
  </si>
  <si>
    <t>"lo que perdió Isabel, lo reconquistará @Santi_ABASCAL Fenómeno de #VOX y otras sandeces</t>
  </si>
  <si>
    <t>https://bit.ly/2QCiUPH</t>
  </si>
  <si>
    <t>Periodismo de la @UMU. @ClubDeDebateUMU. Escribo en http://xn--libredeburguesa-ipb.com | Fiel al pensamiento de que las revoluciones siempre llegan https://unaperiodistaperdida.blogspot.com.es/</t>
  </si>
  <si>
    <t>https://www.facebook.com/ilbahs</t>
  </si>
  <si>
    <t>Enrique Seoane</t>
  </si>
  <si>
    <t>Como dice el dicho, "librame de las aguas mansas (@pablocasado_), que de las bravas ya me libraré yo (@Santi_ABASCAL). " #6dicembre #DíadelaConstitución</t>
  </si>
  <si>
    <t>Malagueño, Sagitario, de izquierdas, #feminista y con ganas de mejorar día a día. Auxiliar de seguridad de @UniumServicios en @Bidafarma</t>
  </si>
  <si>
    <t>https://www.facebook.com/enrique.seoane.71</t>
  </si>
  <si>
    <t>javi</t>
  </si>
  <si>
    <t>Os dejo la lista de todas las cosas que se han podido pagar gracias a lo que han cotizado trabajando al margen de la politica, Pablo Casado y Santi Abascal. - - - - - - - -</t>
  </si>
  <si>
    <t>Mas cabreado que un mono.</t>
  </si>
  <si>
    <t>Gracias a la fortaleza de la constitución España pudo derrotar al terrorismo de ETA. Imágenes como éstas no se olvidan aunque los comunistas mercenarios de Podemos financiados por el narco dictador asesino Nicolas lo intenten. @FJL_EsRadio @Santi_ABASCAL @monasterioR VIVA VOX</t>
  </si>
  <si>
    <t>https://pbs.twimg.com/media/Dtvc4jBUcAA85eO.jpg</t>
  </si>
  <si>
    <t>Taurino_astur</t>
  </si>
  <si>
    <t>El derecho a portar armas es una de las bases de la democracia - Pablo I...  vía @YouTube excepto si la lleva @Santi_ABASCAL , verdad @pnique ???</t>
  </si>
  <si>
    <t>https://youtu.be/3RkLe1Z7hp4</t>
  </si>
  <si>
    <t>Cerca de un toro o un lápiz.</t>
  </si>
  <si>
    <t>Abonado del tendido 1 de El Bibio, en Gijón y del 9 de las Ventas, en Madrid. Taurino y defensor del toro, el torero y la tauromaquia. Arquitecto.</t>
  </si>
  <si>
    <t>Querido @pnique Yo soy @Santi_ABASCAL y llevaría pistola, recortada, fusil de asalto y hasta granadas... RT @sterlingmrch: La vida de Santiago Abascal en su País Vasco natal: amenazas de muerte de ETA, su negocio familiar quemado en varias ocasiones y cartas de extorsión a su abuelo. ¿Qué nos apostamos a que esto no sale en los medios?</t>
  </si>
  <si>
    <t>Estos son los democratas @CristinaSegui_ @Santi_ABASCAL @vox_es RT @voz_populi: ⏯ Los CDR revientan un acto de Vox por la Constitución en Gerona</t>
  </si>
  <si>
    <t>https://twitter.com/voz_populi/status/1070638022801190912
https://buff.ly/2SvLKyu</t>
  </si>
  <si>
    <t>pic.twitter.com/wUKuS8oHy9</t>
  </si>
  <si>
    <t>Rubén Gil</t>
  </si>
  <si>
    <t>Buena entrevista de @anarosaq en @elprogramadear #AbascalAR Y mejores respuestas de @Santi_ABASCAL de #VOX Yo fui de VOX hasta que dieron un par de pasos en falso (interno y externo), pero si vuelve a sus raíces será muy bueno para #España #Enhorabuena 👏🏼</t>
  </si>
  <si>
    <t>"El mayor error lo comete quien no hace nada porque sólo podría hacer un poco" Edmund Burke | Yo soy "nazareno" ن Liberal, distributista y conservador.</t>
  </si>
  <si>
    <t>GemaColomo#NiOlvidoN</t>
  </si>
  <si>
    <t>ESPAÑA VIVA @vox_es @Santi_ABASCAL @madrid_vox</t>
  </si>
  <si>
    <t>https://pbs.twimg.com/media/DtvanTnWkAEXtUr.jpg</t>
  </si>
  <si>
    <t>Navalcarnero, Madrid, ESPAÑA</t>
  </si>
  <si>
    <t>¡POR DIOS Y POR ESPAÑA! La vida es un espejo, sonríe siempre :) :) :) La gota rompe la piedra por su constancia, no por su fuerza</t>
  </si>
  <si>
    <t>http://esEspana.com.es</t>
  </si>
  <si>
    <t>España VIVA @vox_es @Santi_ABASCAL @madrid_vox</t>
  </si>
  <si>
    <t>https://pbs.twimg.com/media/DtvaZX5WoAEiuDd.jpg</t>
  </si>
  <si>
    <t>Jesús Blas 🎗</t>
  </si>
  <si>
    <t>Representantes de la extrema derecha en España: desde siempre @Santi_ABASCAL @vox_es y @Albert_Rivera @CiudadanosCs y el actual @PPopular de @pablocasado_ Franquistas bajo el abrigo del dictador ... con la colaboración de sus herederos de la @CasaReal</t>
  </si>
  <si>
    <t>https://pbs.twimg.com/media/DtvZKAqX4AAPyUO.jpg</t>
  </si>
  <si>
    <t>Santa Perpètua de Mogoda</t>
  </si>
  <si>
    <t>Sarrià, Les Corts, Mollet del Vallès i Santa Perpètua de Mogoda - Telecomunicacions - Electrònica - Per la #RepúblicaCatalana</t>
  </si>
  <si>
    <t>https://pbs.twimg.com/media/DtvZremWoAAQ4kE.png</t>
  </si>
  <si>
    <t>¿@JuanMarin_Cs de @CiudadanosCs estan ustedes pactando esto con @susanadiaz a espaldas de @pablocasado y @Santi_ABASCAL? Espero que Centeno se equivoque... RT @thecentenator: La estrategia real de Rivera es ofrecer al PSOE mantener su estructura intacta en la Junta de Andalucía a cambio de que nombren presidente a Marín, lo que constituye una traición a España y a sus votantes</t>
  </si>
  <si>
    <t>https://twitter.com/thecentenator/status/1070371737093713926</t>
  </si>
  <si>
    <t>pic.twitter.com/Uhnb5aYgBQ</t>
  </si>
  <si>
    <t>Pilar García</t>
  </si>
  <si>
    <t>Ana Rosa, las mujeres también vamos a votar a Santi Abascal, antes de nada yo soy madre de un varón... La falta de ética periodistica  vía @YouTube</t>
  </si>
  <si>
    <t>https://youtu.be/vAdPrKzQ2vE</t>
  </si>
  <si>
    <t>Ayer vi la entrevista de @Santi_ABASCAL por YouTube, me niego a darle audiencia al circo de @telecincoes, y tengo que decir que @vox_es está empezando a ganarse mi simpatía y mi voto. PD: para más INRI, soy catalán, ahí lo dejo...</t>
  </si>
  <si>
    <t>En el día en que se cumplen #40AñosDeConstitución, así ha respondido @Santi_ABASCAL a los que dicen que @vox_es es un partido inconstitucional</t>
  </si>
  <si>
    <t>http://ww.cope.es/o1joz2</t>
  </si>
  <si>
    <t>Esto es lo que deben imaginarse los supuestos "antifascistas" que hace @Santi_ABASCAL, planear "cosas nazis" 🤣🤣🤣.</t>
  </si>
  <si>
    <t>https://pbs.twimg.com/media/DtvX4RWXQAANMSq.jpg</t>
  </si>
  <si>
    <t>carlos juma</t>
  </si>
  <si>
    <t>Tristísimo que se le dé voz a este personaje soltando anormalidades... Lo siento, @Santi_ABASCAL, pero no... La unión entre hombre-hombre y mujer-mujer también es matrimonio. Te jodes RT @elprogramadear: .@Santi_ABASCAL : "El matrimonio es la unión entre un hombre y una mujer" @vox_es #AbascalAR</t>
  </si>
  <si>
    <t>No permito que ningún partido político me rastree</t>
  </si>
  <si>
    <t>Petrer, Comunidad Valenciana</t>
  </si>
  <si>
    <t>“La locura es lo que nos hace verdaderamente felices” Aprendiendo siempre para deconstruirme y ser mejor persona. Antiespecista / Feminista / LGTBI 🌱🌈♀️💪🏻</t>
  </si>
  <si>
    <t>http://turnsoffthelight.blogspot.com.es/</t>
  </si>
  <si>
    <t>Gracias a la fortaleza de la constitución española se pudo derrotar a los terroristas ETA. Imágenes como estás no se pueden olvidar. Para los asesinos de ETA no habrá espacios jamás. VIVA VOX POR UNA ESPAÑA VIVA. @FJL_EsRadio @Ortega_Smith @Santi_ABASCAL @monasterioR VIVA VOX</t>
  </si>
  <si>
    <t>https://pbs.twimg.com/media/DtvWGauU0AAxECY.jpg</t>
  </si>
  <si>
    <t>Isma</t>
  </si>
  <si>
    <t>Si cierran Canal Sur tenemos que ver los carnavales por la web de Onda Cadiz. Santi Abascal, estás jugándote la vida, te aviso.</t>
  </si>
  <si>
    <t>Huelva, Andalucía</t>
  </si>
  <si>
    <t>Ex jugador del CD Iliplense y del Sevilla FC. Derecho &amp; Fico en la UPO</t>
  </si>
  <si>
    <t>Vaya! @canalsur dando la razón a @Santi_ABASCAL Hay que cerrarla. RT @okdiario: .@canalsur identifica a @vox_es con el fascismo y jalea las protestas provocadas por Iglesias Por @joanguirado 👇</t>
  </si>
  <si>
    <t>Enrique Castillo</t>
  </si>
  <si>
    <t>A un chico casi lo matan en Vitoria entre 15 por ser español. Las hordas arrasan Cádiz y Barcelona. Se revientan actos por el aniv. de la Constitución... Pero el problema es Santi @Santi_ABASCAL y no sé que gaitas de la extrema derecha. La indecencia de algunos es ilimitada,</t>
  </si>
  <si>
    <t>"Cuando te asomas a menudo al abismo, el abismo se acaba asomando a ti" Nietzsche</t>
  </si>
  <si>
    <t>Francisco Membrilla</t>
  </si>
  <si>
    <t>Asesor inmobiliario.</t>
  </si>
  <si>
    <t>Cuando en política se siembran verdades, se recogen multitudes @Santi_ABASCAL @Ortega_Smith @monasterioR @vox_es @madrid_vox @Alternativa_VOX @voxnoticias_es @sanchezdelreal #EspañaViva</t>
  </si>
  <si>
    <t>https://pbs.twimg.com/media/DtvUQ4oWsAEIx_9.jpg</t>
  </si>
  <si>
    <t>Buenas tardes @CasaReal , @sanchezcastejon , @pablocasado_ , @Albert_Rivera , @InesArrimadas , @Santi_ABASCAL. Con la misma vehemencia con la que MUY GUSTOSAMENTE os insultaría...os pido, POR FAVOR, que paréis esto.  ¡¡¡Sois ESCORIA!!! "GRACIAS". #FemXarxaRT @alwaysfree86: Mi desahucio terminará de la peor de las maneras..SUICIDIO @galceran_montse @ManuelaCarmena @provivienda_org @emvsmadrid @La1_tve @antena3com @cuatro @telemadrid @telecincoes @laSextaTV @MADRID @ComunidadMadrid @JMDTetuan @Tetuan30Dias @Invisibles_T @OSTetuan</t>
  </si>
  <si>
    <t>mo'better</t>
  </si>
  <si>
    <t>¿Que le parece al Sr. @Santi_ABASCAL @vox_es , que es español y muy español, que en este país se de la nacionalidad española a quienes tengan dinero para pagarla sin más? ¿Acaso si tienes dinero para "comprarte" la nacionalidad no eres migrante?</t>
  </si>
  <si>
    <t>El pensamiento nos hará libres...</t>
  </si>
  <si>
    <t>Los fachas somos más. Porque amo a España. Porque amo la bandera Porque amo a la patria Porque amo la libertad Porque amo al rey Por todo eso soy: EL ULTRA FACHA MÁS FACHA DE TODOS LOS FACHAS Y A MUCHA HONRA. @Santi_ABASCAL @FJL_EsRadio @Ortega_Smith @monasterioR VIVA VOX</t>
  </si>
  <si>
    <t>https://pbs.twimg.com/media/DtvQVpuUUAAhsoZ.jpg</t>
  </si>
  <si>
    <t>AFRKN</t>
  </si>
  <si>
    <t>Antes de ver este vídeo, @Santi_ABASCAL tenía mi respeto, ahora tiene mi más profunda admiración. Pintadas amenazantes hacia él en la facultad, sus caballos pintados con insultos hacia su familia y con siglas de ETA, y nada pudo pararlo. ¡Adelante @vox_es!</t>
  </si>
  <si>
    <t>Nema predaje, nema podele!</t>
  </si>
  <si>
    <t>Desacomplejadamente patriota y ajeno al altruismo patológico. Anticomunista | Antiseparatista. 🇪🇸 #NoAlMaltratoAnimal #1244</t>
  </si>
  <si>
    <t>http://es.favstar.fm/users/AFRKN_</t>
  </si>
  <si>
    <t>LA REALIDAD DIARIO</t>
  </si>
  <si>
    <t>Entrevista en profundidad a @Santi_ABASCAL , líder de @vox: "La mujer merece tener casi todos los derechos del hombre"</t>
  </si>
  <si>
    <t>https://pbs.twimg.com/media/DtvQA2iWwAUj35t.jpg</t>
  </si>
  <si>
    <t>Antiguonia</t>
  </si>
  <si>
    <t>Rigor subjetivo.</t>
  </si>
  <si>
    <t>http://www.larealidad23.wordpress.com</t>
  </si>
  <si>
    <t>Un día especial para la convivencia pacífica y la solidaridad de todos los españoles. VIVA ESPAÑA. UN REGALO DE ESTE FACHA CUBANO. VIVA VOX POR UNA ESPAÑA VIVA SIN CORRUPCIÓN. VOX ES LA RESPUESTA Y LA SOLUCIÓN PARA TENER UNA ESPAÑA UNIDA. LOS FACHAS SOMOS MÁS. @SANTI_ABASCAL</t>
  </si>
  <si>
    <t>https://pbs.twimg.com/media/DtvPOoMUwAIPKfA.jpg</t>
  </si>
  <si>
    <t>JoanBlanco_78</t>
  </si>
  <si>
    <t>Es un mentiroso, qué diga lo qué le de la gana, @Santi_ABASCAL , los culpables es darles eco. Se meten con los débiles son cobardes. RT @RubenSanchezTW: Así miente @Santi_Abascal para sembrar su odio a los inmigrantes: "Las mujeres asesinadas en España lo han sido, mayoritariamente, a manos de extranjeros". Es falso. 7 de cada 10 asesinatos fueron cometidos por españoles en los últimos cinco años.</t>
  </si>
  <si>
    <t>Sólo hay una vida y un sentido para darle, y no pienso esperar al tiempo, porque él nunca se paró a esperarme. (Nach)</t>
  </si>
  <si>
    <t>JotaEme 🇪🇸</t>
  </si>
  <si>
    <t>Yo no esperaría menos de @Santi_ABASCAL RT @WillyTolerdoo: Ya me imagino las próximas elecciones catalanas con VOX llevando en su programa electoral cerrar el nido de enchufados de TV3. Se acabó lo políticamente correcto, o PP y Cs espabilan o acaban como UPyD.</t>
  </si>
  <si>
    <t>https://twitter.com/WillyTolerdoo/status/1070642485855166464</t>
  </si>
  <si>
    <t>Español en París, Valencia me vio nacer, escucho ELMDF, dispuesto a luchar hasta el final. VOTA @vox_es , #ungaungaarmy</t>
  </si>
  <si>
    <t>Qué me digan facha en cuanto me vean si la dicha y los votos de los facha todos los desean. SOY FACHA Y FACHA CUBANO. Y por qué soy FACHA. Porque amo a España su bandera y sus rey. @Santi_ABASCAL @Ortega_Smith @monasterioR @FJL_EsRadio VIVA VOX VOTO VOX POR UNA ESPAÑA VIVA</t>
  </si>
  <si>
    <t>https://pbs.twimg.com/media/DtvOXGuV4AAdvzK.jpg</t>
  </si>
  <si>
    <t>"Buenafuente llamando a TODOS los andaluces cerdos". Por radicales como estos insultándonos a los españoles, votaré a @vox_es @Santi_ABASCAL @Ortega_Smith #EspañaViva #40AñosDeConstitución #2018EnResumen #DíaDeLaConstitución #ConstitucionEspañola</t>
  </si>
  <si>
    <t>https://www.youtube.com/watch?v=J0xfknaNOrM&amp;t=</t>
  </si>
  <si>
    <t>x.kolz.x</t>
  </si>
  <si>
    <t>A lo tonto tonto Santi Abascal va a acabar más arriba que Carrero blanco</t>
  </si>
  <si>
    <t>Utopía ☠ Me gusta escribir y esas cosas Pues eso que se ha comentado que te tiraste a un caballo Cuando sea tatuador pues seré tatuador que chuli no?</t>
  </si>
  <si>
    <t>E S T H E L F † | #TeamSAD</t>
  </si>
  <si>
    <t>Deja de mentir, @Santi_ABASCAL.</t>
  </si>
  <si>
    <t>https://pbs.twimg.com/media/DtvLOYAXgAEACS_.jpg</t>
  </si>
  <si>
    <t>Barcelona, oh na na~~!</t>
  </si>
  <si>
    <t>I am the human representation of a song of ice and drama. Also a feminist. Follow at your own risk. #FuckDepression CB💔 | [230416] [110218] 💀 @rabbitheart_xx</t>
  </si>
  <si>
    <t>David B</t>
  </si>
  <si>
    <t>Las prioridades Andaluzas son la inmigración,impuestos, trabajo,barrer bajo las alfombras y la unidad de España. @Santi_ABASCAL @vox_es poco a poco, no la pifies tras lo cabalgado.</t>
  </si>
  <si>
    <t>Andrés M. Sánchez S.</t>
  </si>
  <si>
    <t>Vaya, parece que @vox_es sería un chiringuito que @Santi_ABASCAL y otros han montado para que los de siempre sigan ganando dinero a costa de todas y ellos, de paso. O eso parece según han investigado algunos...</t>
  </si>
  <si>
    <t>pic.twitter.com/uWMQfLTfbV</t>
  </si>
  <si>
    <t>Fuerteventura.</t>
  </si>
  <si>
    <t>Profesor de Tecnología en la pública, cansado de que los de arriba nos roben. Entre todas PODEMOS cambiarlo.</t>
  </si>
  <si>
    <t>Y los Cordones Sanitarios Inesita....y los Cordones Sanitarios,¿qué clase de demócrata serías si no?, ¿verdad Inesita?...con @Santi_ABASCAL @Igarrigavaz habrá menos caretas!! #votavox #VoxAvanza #VoxValientes #VoxUtil #VOXAndalucia #EspañaViva #EspañaSeDefiende #EspañaLoPrimero RT @InesArrimadas: Los intolerantes quieren silenciar al partido que ganó las elecciones en Cataluña. Pese a su intento de boicotear nuestro acto en conmemoración de la Constitución, hemos llenado la sala de ilusión. Seguiremos defendiendo la libertad, la igualdad y la unión de todos los españoles</t>
  </si>
  <si>
    <t>https://twitter.com/InesArrimadas/status/1070410382139891714</t>
  </si>
  <si>
    <t>pic.twitter.com/hlK1wFUrt4</t>
  </si>
  <si>
    <t>richhek</t>
  </si>
  <si>
    <t>Me pregunto que dirán del llamamiento a la rebelión antifascista de pablo el día 2 : @PSOE @ahorapodemos @pnique @sanchezcastejon @Santi_ABASCAL @Pablo_Iglesias_ @pablocasado_ Ley Orgánica 10/1995, Código Penal. TÍTULO XXI. Delitos contra la Constitución</t>
  </si>
  <si>
    <t>http://noticias.juridicas.com/base_datos/Penal/lo10-1995.l2t21.html#.XAkhqCAqukY.twitter</t>
  </si>
  <si>
    <t>ホアキン, Joaquín</t>
  </si>
  <si>
    <t>Santiago Abascal @Santi_ABASCAL te la cuela cual carcamal. RT @MalditoDato: Dice Abascal que Vox ha sacado más votos que Podemos en ‘Las 3.000 viviendas’ de Sevilla. No es cierto. Vox fue el quinto partido más votado allí.</t>
  </si>
  <si>
    <t>https://twitter.com/MalditoDato/status/1070346598293606401
https://maldita.es/malditodato/no-vox-no-ha-ganado-en-las-3-000-viviendas-de-sevilla-ni-ha-superado-a-podemos/</t>
  </si>
  <si>
    <t>pic.twitter.com/Ko3wlEDHse</t>
  </si>
  <si>
    <t>Madriz, third planet from Sun</t>
  </si>
  <si>
    <t>🎗 Hemos sacado la basura, ahora toca limpiar con lejía. Radical de izquierdas y vegano. Me gusta cocinar. #MadridEnBici #ViveVegano</t>
  </si>
  <si>
    <t>Антон</t>
  </si>
  <si>
    <t>Desde Toledo lucen la enseña nacional en honor de la Inmaculada celebremos el Referéndum de 1978 con la defensa de nuestra #ConstitucionEspanola quien tiene en @Santi_ABASCAL y su movimiento #VoxAvanza un defensor de los valores patrios y la gente de bien #40AñosdeConstitucion</t>
  </si>
  <si>
    <t>https://pbs.twimg.com/media/DtvHzV7WkAA6zOh.jpg</t>
  </si>
  <si>
    <t>New Babylonia 2.0</t>
  </si>
  <si>
    <t>ॐ मणि पद्मे ह Amante de la paz, de la militarización obligatoria y las Space Force de Mr. Trump. I'm In Shamshara Wheel right now, With You! #ufo #нло #ovni</t>
  </si>
  <si>
    <t>https://telegra.ph/Despertar-en-el-Mundo-Astral-las-claves-en-un-pequeño-libro-08-21</t>
  </si>
  <si>
    <t>Martínez</t>
  </si>
  <si>
    <t>Y tiene razón @Santi_ABASCAL porque tiene 1.462 trabajadores para tres programas que repiten tarde, mañana y noche: Soy del Sur, Juan y Medio, así como el incomprensible Andaluces por España</t>
  </si>
  <si>
    <t>https://www.elconfidencial.com/elecciones-andalucia/2018-12-04/santiago-abascal-canal-sur-vox_1685166/?utm_source=twitter&amp;utm_medium=social&amp;utm_campaign=BotoneraWeb</t>
  </si>
  <si>
    <t>No te preguntes qué puede hacer tu país por ti, pregúntate que puedes hacer tú por tu país. John F. Kennedy</t>
  </si>
  <si>
    <t>Jaime Murillo</t>
  </si>
  <si>
    <t>.@vox_es @Santi_ABASCAL @VOXSevilla @FSerranoCastro Aquí medidas a tomar inmediatamente cuando entre el nuevo Gobierno Andaluz: destituir a todos estos nombramientos ilicitos RT @aybarrapacheco: Oleada de nombramientos de directivos y cargos del Servicio Andaluz de Salud publicadas en el BOJA tras las elecciones  vía @abcdesevilla</t>
  </si>
  <si>
    <t>https://twitter.com/aybarrapacheco/status/1070251265777696768
https://sevilla.abc.es/andalucia/sevi-oleada-nombramientos-directivos-y-cargos-publicadas-boja-tras-elecciones-201812042324_noticia.html#ns_campaign=rrss-inducido&amp;ns_mchannel=abcdesevilla-es&amp;ns_source=tw&amp;ns_linkname=noticia-foto&amp;ns_fee=0</t>
  </si>
  <si>
    <t>Madrid - ESPAÑA</t>
  </si>
  <si>
    <t>Español de la generación de la #EGB.</t>
  </si>
  <si>
    <t>El video de un jovencísimo ⁦@Santi_ABASCAL⁩ que debería avergonzar a ⁦@ahorapodemos⁩ Estos hijos de puta #Podemitas #Comunistas de mierda no tienen vergüenza ni la conocen.</t>
  </si>
  <si>
    <t>https://www.esdiario.com/amp/453023193/El-video-de-un-jovencisimo-Santiago-Abascal-que-deberia-dar-verguenza-a-Podemos.html</t>
  </si>
  <si>
    <t>Rafa de la Torre</t>
  </si>
  <si>
    <t>Santi Abascal quiere quitar canal sur, la emisora autonómica de Andalucía #40AñosDeConstitución</t>
  </si>
  <si>
    <t>Granada CF y Real Madrid, comento tanto OT como GH, Noelion (49,8), Sofia Suescun (60,7), Sweet California, creyente y antisocial</t>
  </si>
  <si>
    <t>M.M.B™👌</t>
  </si>
  <si>
    <t>Y pensar que con un par de pequeños cambios @Santi_ABASCAL podría quitarle el electorado a @Pabo_Iglesias... #40AñosDeConstitución</t>
  </si>
  <si>
    <t>https://pbs.twimg.com/media/DtvG4_7XgAA0oMK.jpg</t>
  </si>
  <si>
    <t>La violencia no es el camino,pero si te doy una hostia te pongo a andar.</t>
  </si>
  <si>
    <t>Hola @FeijooGalicia .Voto a @vox_es y mi familia también. Nos cansamos de votarte a ti y al @PPopular con la nariz tapada.Somos todos de las Rías Bajas. Se acabó el votar al mal menor ¡VIVA ESPAÑA! Galicia es de los gallegos y de los españoles,no es tuya. @Santi_ABASCAL HÉROE. RT @doctorYekyll: Feijoo dice que Vox no tiene cabida en Galicia. Como gallego hago un llamado a los militantes gallegos de Vox para iniciar una batalla dialéctica y una fuerte movilización para dar un vuelco electoral similar al habido en Andalucia. Ruego retuits para alcanzar máxima difusión.</t>
  </si>
  <si>
    <t>https://twitter.com/doctorYekyll/status/1070443182356353024</t>
  </si>
  <si>
    <t>Dadorcito</t>
  </si>
  <si>
    <t>Y una Mierda para Santi Abascal; cordón sanitario el que yo sufro todos los sábados en la pista de baile</t>
  </si>
  <si>
    <t>Fruto del amor entre Dador y Monica Carrillo. Twitter mató a mi padre y yo he venido a vengarlo</t>
  </si>
  <si>
    <t>🇪🇸 la Verdad siempre Emerge</t>
  </si>
  <si>
    <t>Así amenazaban al abuelo d @Santi_ABASCAL los terroristas amigos d separatistas y rancios comunistas chekistas como #PabloIglesias o pabLENIN el d la mansión en Villatinaja q manda hordas violentas d zombies antidemócratas cuando el pueblo vota a quienes les combaten en las urnas RT @HispaniaSpain: Por si alguien duda del horror que infundían quienes se proclamaban sozialistas y ahora sin llamados hombres de paz. "Una vez pasado el plazo comenzaremos a ejecutarles" Ejecutarles, hombres de paz. No cuadra @vox_es</t>
  </si>
  <si>
    <t>https://twitter.com/HispaniaSpain/status/1070661984629202944</t>
  </si>
  <si>
    <t>https://pbs.twimg.com/media/DtvBY7GWwAEt1B6.jpg</t>
  </si>
  <si>
    <t>Reinado Español de Cristo</t>
  </si>
  <si>
    <t>#ESPAÑOL #patriota #HOMOSEXUALdecente #StopIdeologiaDeGenero #antimasón #anticomunista #antisionista #CRISTIANO #provida .. de @vox_es 👉..y #FACHA🤣</t>
  </si>
  <si>
    <t>𝐏𝐚𝐜𝐨 𝐑𝐚𝐥𝐥é 👖 X 👣</t>
  </si>
  <si>
    <t>Tras ver la entrevista en @elprogramadear a Santiago Abascal @Santi_ABASCAL creo que Santi se merece un rapapolvo... No se puede ir a la TV a defender la derogación de la LIVG sin llevar aprendidos todos los datos en su contra para responder convenientemente. Lo demás, bien.</t>
  </si>
  <si>
    <t>https://pbs.twimg.com/media/DtvEsIDWoAEMrgV.jpg</t>
  </si>
  <si>
    <t>Lo mismo no opino de todo porque no todo me importa lo mismo. Deroguemos la LIVG en 🇪🇸de una puta vez. Cosecha del '62 #UngaUngaArmy #StopIslam @vox_es</t>
  </si>
  <si>
    <t>Raúl Rebolledo Cuesta</t>
  </si>
  <si>
    <t>Le juzgan por maltrato en Palencia, se lleva a su hija a Polonia y un tribunal de su país pide una pensión a la madre  #España ninguneada en Europa. @JosepBorrellF @pablocasado_ @Albert_Rivera @Pablo_Iglesias_ @Santi_ABASCAL No se nos respeta nada ¿Por qué?</t>
  </si>
  <si>
    <t>https://www.elnortedecastilla.es/palencia/polaco-juzgado-maltrato-20181205220149-nt.html</t>
  </si>
  <si>
    <t>Palencia, España</t>
  </si>
  <si>
    <t>La EDUCACIÓN es el mejor eje vertebrador para un País.</t>
  </si>
  <si>
    <t>Paula Teruel</t>
  </si>
  <si>
    <t>No soy franquista, me siento orgullosa de ser española, soy anti racista, soy mujer y quiero igualdad. No te juzgo si no me entiendes, pero respétame, porque yo apoyo a @vox_es @Santi_ABASCAL @Ortega_Smith</t>
  </si>
  <si>
    <t>Teruel, España</t>
  </si>
  <si>
    <t>menos hablar y más escuchar. 🇪🇸VIVA 🇪🇸</t>
  </si>
  <si>
    <t>Antonio Rico✍</t>
  </si>
  <si>
    <t>Aún no me ha quedado claro que tiene que ver el establecimiento regentado por chinos y la Rumana con @vox_es Que triste @iescolar sin parar de atizar a @Santi_ABASCAL consiguiendo el efecto contrario... "Decirme a quien señala todo el mundo y os diré donde hay un inocente..." RT @mugiwarasens: MÁXIMA DIFUSIÓN ,esto ha pasado en Archena (Murcia), si este es el racismo que queremos tener con VOX de por medio yo no sé qué pensar ya de este tipo de gente</t>
  </si>
  <si>
    <t>Delegado @AnticorrObserva Colectivo apartidista,por y para las personas Exmiembro de @Defensagob y de la @guardiacivil Medallas @NATO y Plata al Mérito Policial</t>
  </si>
  <si>
    <t>https://occ.org.es/index.php/quienes-somos-que-hacemos/</t>
  </si>
  <si>
    <t>Aʟᴇᴊᴀɴᴅʀᴏ Esᴘɪɴᴏsᴀ</t>
  </si>
  <si>
    <t>Como las encuestas fallán mucho, desde hoy usaremos el n° de seguidores q tiene cada Secretario en twitter, de momento: 1. @Pablo_Iglesias_ 2,2 M 2. @Albert_Rivera 1M 3. @sanchezcastejon 938K 4. @pablocasado_ 178K 5. @Santi_ABASCAL 133K Habrá q observar como es el crecimiento.</t>
  </si>
  <si>
    <t>https://pbs.twimg.com/media/DtvBX1bWkAAJpp3.jpg</t>
  </si>
  <si>
    <t>Desde el 2001 trabajando en el sector financiero | Expongo mi visión no hago recomendaciones.</t>
  </si>
  <si>
    <t>http://alejandroespinosa.com</t>
  </si>
  <si>
    <t>Ahora las hordas podemitas de izquierda tratan de desacreditarnos a los votantes del unico partido español con sentido común, Vox, incendiado tiendas..casas y coches de españoles.piensan que así van a conseguir votos y lo único que conseguirán es que millones voten @Santi_ABASCAL</t>
  </si>
  <si>
    <t>Amayita</t>
  </si>
  <si>
    <t>Uno de los días más bonitos y emotivos de mi vida fue el pasado 27 de octubre. La boda de dos de mis mejores amigas!!!! Y ahora pretende venir un tal @Santi_ABASCAL con sus secuaces a decirme q esa unión no es legal??? Mirad, panda de desalmados, vosotros no tenéis</t>
  </si>
  <si>
    <t>No hagas una pregunta si no vas a poder soportar la respuesta. Hija de Gabriel y Mila, hermana de Leire y amiga de mis amig@s. Rubia :-D</t>
  </si>
  <si>
    <t>A l b e r t o</t>
  </si>
  <si>
    <t>Y tan tranquilo... Hijo de puta @Santi_ABASCAL 🤫 RT @elprogramadear: .@Santi_ABASCAL : "El matrimonio es la unión entre un hombre y una mujer" @vox_es #AbascalAR</t>
  </si>
  <si>
    <t>Triana, Sevilla</t>
  </si>
  <si>
    <t>Viajando a donde vayas...</t>
  </si>
  <si>
    <t>J.J. Madueño</t>
  </si>
  <si>
    <t>El origen de @vox_es en #Andalucía: @Santi_ABASCAL subido en un banco en las calles de #Sevilla..  @romualdomaestre os cuenta como comenzó la formación en la región...</t>
  </si>
  <si>
    <t>https://sevilla.abc.es/elecciones/andalucia/sevi-origen-andalucia-santiago-abascal-subido-banco-sevilla-201812060827_noticia.html</t>
  </si>
  <si>
    <t>Málaga, Andalucía</t>
  </si>
  <si>
    <t>Periodista. Doctorando. #PeriodismoXLaPaz. Con un par de zapatos gastados y una libreta. Estoy sólo con mi curiosidad. En @abc_es y @abcdesevilla...</t>
  </si>
  <si>
    <t>http://sevilla.abc.es/andalucia/</t>
  </si>
  <si>
    <t>¡Un HÉROE DE ESPAÑA! @Santi_ABASCAL @vox_es RT @desamparadosb: Sres/as Santi Abascal 👇👇</t>
  </si>
  <si>
    <t>https://twitter.com/desamparadosb/status/1070659032623521792</t>
  </si>
  <si>
    <t>pic.twitter.com/fB2D5SIIxU</t>
  </si>
  <si>
    <t>XaviBoadaVila||*||</t>
  </si>
  <si>
    <t>Entre #losdeldiccionario y Arrimadas, TV3 es claramente su canal, incluso seguro que pronto veremos como entrevistan a @Santi_ABASCAL, él cuando tenga poder lo primero que hará será quitar @tv3cat por muy afín al régimen que sea.</t>
  </si>
  <si>
    <t>Barcelona - Europe</t>
  </si>
  <si>
    <t>🎗🎗Escritor https://politicaespanyola.com #followback Tractorero payés catalán RT no significa adhesión 🎗🎗</t>
  </si>
  <si>
    <t>http://www.xaviboadavila.com</t>
  </si>
  <si>
    <t>Abascal libera a España de toda esta lacra que tenemos @Santi_ABASCAL</t>
  </si>
  <si>
    <t>https://www.marca.com/tiramillas/actualidad/2018/12/05/5c07d3fdca4741c3018b4603.html</t>
  </si>
  <si>
    <t>El asqueado</t>
  </si>
  <si>
    <t>Estoy súper contento y por qué?. Porque está de moda nuestro representante Santi Abascal, todas las televisiones progres se pirran por una entrevista. Santi se escrupuloso y acuérdate cuando te decían que le gente que te seguía cuando empezaste cabían en un taxi.</t>
  </si>
  <si>
    <t>Amparo Blay Alabarta</t>
  </si>
  <si>
    <t>Sres/as Santi Abascal 👇👇</t>
  </si>
  <si>
    <t>La libertad ni se compra ni se vende, o se tiene o no se tiene.</t>
  </si>
  <si>
    <t>Esta sería la carta que recibió Santi Abascal de parte de ETA. #40AñosDeConstitución #DiaDeLaConstitucion</t>
  </si>
  <si>
    <t>https://pbs.twimg.com/media/Dtu-QxPXgAAR4rs.jpg</t>
  </si>
  <si>
    <t>Drakhan (SOF / CSSU)</t>
  </si>
  <si>
    <t>Carta que enviaron los "democratas antifascistas" al padre de @Santi_ABASCAL ¡ Y se extrañan de que lleve pistola!</t>
  </si>
  <si>
    <t>https://pbs.twimg.com/media/Dtu94XHW4AAJpev.jpg</t>
  </si>
  <si>
    <t>Cartagena</t>
  </si>
  <si>
    <t>¡ Valiente por tierra y por mar ! ...porque aquí lo que sospecho, no adorna el vestido al pecho, que el pecho adorna al vestido https://youtu.be/UVKLPKePcZk</t>
  </si>
  <si>
    <t>David  Canales</t>
  </si>
  <si>
    <t>Tú padre no se puso el forro y trajo al mundo a un tonto? @Santi_ABASCAL</t>
  </si>
  <si>
    <t>El novio que toda madre querría para su hija.</t>
  </si>
  <si>
    <t>Nikolai</t>
  </si>
  <si>
    <t>killo, a ti el divorcio con tu mujer te dejó pilladito perdido no??? te tendrían que dar una paguita vitalicia, subnormal!!! @Santi_ABASCAL</t>
  </si>
  <si>
    <t>la curiosidad mató al gato,la satisfacción lo resusitó</t>
  </si>
  <si>
    <t>El azote de los rojos</t>
  </si>
  <si>
    <t>Las 🐀 separatistas no respetan a quién democráticamente voto la Constitución. La única solución para parar a ratas y perroflautas es VOX. @Santi_ABASCAL @vox_es @MarisaGadea</t>
  </si>
  <si>
    <t>Alpedrete, España</t>
  </si>
  <si>
    <t>Harto de los enemigos de España. Patriota Cristiano. Si eres podemita, separrata, marrón, o traidor a mi patria, no me interesas. ARRIBA ESPAÑA SIEMPRE. 🇪🇸✋🏼</t>
  </si>
  <si>
    <t>Daniel Vargas</t>
  </si>
  <si>
    <t>No es cosa de hace poco tiempo: @Santi_ABASCAL hace años que se enfrenta con golpistas y terroristas. #VOX #España #ETA</t>
  </si>
  <si>
    <t>From Ibiza to @madrid 👉Smile &amp;improve the world. @tecnun @unav ➡️@uc3m</t>
  </si>
  <si>
    <t>Gonzalo potela</t>
  </si>
  <si>
    <t>y hablando de esta falsa democracia el ínclito sr p.glesias es el vivo ejenplo de miseria intelectual pierde en andalucia y solo se acuerda de santi abascal de sus fracaso como líder esa ds la verdadera cara de este personaje rastrero y ccbarde.y ferreras ¡muerete¡</t>
  </si>
  <si>
    <t>EspañaUnida</t>
  </si>
  <si>
    <t>Pablo Iglesias se niega a celebrar el #DiaDeLaConstitucion, sin embargo, sí estuvo en el evento comunista de los 100 años de revolución rusa. Pero el ultraderechista es @Santi_ABASCAL porque defiende su país y la unidad de España. Ver para creer... #40AñosDeConstitución</t>
  </si>
  <si>
    <t>https://pbs.twimg.com/media/Dtu6zrxXcAAYt78.jpg</t>
  </si>
  <si>
    <t>“El fracaso es el primer paso hacia el éxito”. Jurista y opositor a Inspector CNP. Luchando por mi objetivo y por una España mejor, ¿me acompañas? 🇪🇸👮🏻‍♂️</t>
  </si>
  <si>
    <t>El Arnaldo Otegui tambien se mete con @Santi_ABASCAL . Otegui se te ha caido esto.... 👇👇👇👇👇👇👇👇👇👇👇👇</t>
  </si>
  <si>
    <t>https://pbs.twimg.com/media/Dtu5zJ9WkAE7gUW.jpg</t>
  </si>
  <si>
    <t>Adrian C.Salgado</t>
  </si>
  <si>
    <t>Qué vergüenza de persona eres @Santi_ABASCAL RT @FBGrey: Qué no, Abascal, que mi orientación sexual no es sólo mi cama. Es mi futuro marido, es la futura familia que ambos formemos, es la garantía de que los poderes públicos nos protegerán cuando uno de los dos falte. Es hacer, si quiero, la misma vida que tú con tu mujer.</t>
  </si>
  <si>
    <t>https://twitter.com/FBGrey/status/1070310124911239168
https://twitter.com/monasterioR/status/1070236763208081408</t>
  </si>
  <si>
    <t>Barcelona, Cataluña</t>
  </si>
  <si>
    <t>Adrián C.Salgado JSC BCN</t>
  </si>
  <si>
    <t>El Tigre Malasio 🏴󠁧󠁢󠁳󠁣󠁴󠁿🇪🇸🇮🇨🇪🇺</t>
  </si>
  <si>
    <t>Y vivimos en las cavernas no @Santi_ABASCAL??? Y ya de paso tenemos hijos como cochinas parideras porque usar protección es un pecado. Siento asco, vergüenza y enfado al ver estos señores. #VOXilegalizacion 🤮🤮🤮🤮🤮🤬🤬🤬🤬🤬 RT @elprogramadear: .@Santi_ABASCAL : "El matrimonio es la unión entre un hombre y una mujer" @vox_es #AbascalAR</t>
  </si>
  <si>
    <t>Administrativo, teleco y pensador. Creador de TIGREdigital @digitaltigre http://instagram.com/sfleitas94 http://facebook.com/ElTigreMalasio</t>
  </si>
  <si>
    <t>http://tigredigital.es</t>
  </si>
  <si>
    <t>PetrusVil ✞ 🇪🇸</t>
  </si>
  <si>
    <t>Lo que jamás olvidaremos de ETA, eh @ArnaldoOtegi, estas eran vuestras amenazas de muerte al abuelo de @Santi_ABASCAL y a tantos otros vascos, que ocasionó la diáspora de muchos, 40 asesinatos de empresarios y secuestros de otro medio centenar.  👇</t>
  </si>
  <si>
    <t>https://www.google.es/amp/s/www.elindependiente.com/politica/2017/10/20/impuesto-revolucionario-empresarios-eta/amp/</t>
  </si>
  <si>
    <t>https://pbs.twimg.com/media/Dtu4cL0XQAUoFep.jpg</t>
  </si>
  <si>
    <t>Mentalmente en Sevilla Spain</t>
  </si>
  <si>
    <t>Ingeniero Industrial MBA IESE Poeta y escritor RealMadrid Hobbies: La ´güasa´ Filosofía Cine OrtegayGasset La excelencia es el camino Ilustro hasta que bloqueo</t>
  </si>
  <si>
    <t>http://www.Japalpilpa.com</t>
  </si>
  <si>
    <t>Jesús Uría</t>
  </si>
  <si>
    <t>Cuando SANTI ABASCAL (VOX) visitó el pueblo más COMUNISTA de ESPAÑA: Marinaleda</t>
  </si>
  <si>
    <t>https://www.youtube.com/watch?v=86Q_Q7v0RZk</t>
  </si>
  <si>
    <t>Bilbao España</t>
  </si>
  <si>
    <t>https://www.facebook.com/profile.php?id=100011075051553</t>
  </si>
  <si>
    <t>https://www.facebook.com/groups/1523383624657240/?fref=nf</t>
  </si>
  <si>
    <t>katy mikhailova</t>
  </si>
  <si>
    <t>Me mandan este vídeo de aquella entrevista a @santi_abascal hace 4 años... lo que ha llovido desde entonces...! Aun con mis discrepancias con algunos puntos del programa de VOX... no como…</t>
  </si>
  <si>
    <t>https://www.instagram.com/p/BrC5Tr_IhN0/?utm_source=ig_twitter_share&amp;igshid=imoyl5pd1g3n</t>
  </si>
  <si>
    <t>Las Rozas de Madrid</t>
  </si>
  <si>
    <t>💟🙌Comisaria y cofundadora de @movimientosinpiedad contra la violencia de género con la Comunidad de Madrid ✒🎶Periodista y representante artistas</t>
  </si>
  <si>
    <t>http://www.katymikhailova.com/about/</t>
  </si>
  <si>
    <t>Paco Araclan</t>
  </si>
  <si>
    <t>Hola que tal @Santi_ABASCAL @anarosaq @vox_es @elprogramadear</t>
  </si>
  <si>
    <t>Acucamare area area</t>
  </si>
  <si>
    <t>Er Furbo, er pade</t>
  </si>
  <si>
    <t>★ AingOI</t>
  </si>
  <si>
    <t>Hoy celebramos #40AñosDeConstitución El Gobierno @desdelamoncloa @Congreso_Es @Senadoesp debe acatar art. 9, 35 y 36 de la CE y cumplir la DF 3° de la Ley 12/1986 @CasaReal @constitucion40 @sanchezcastejon @MarotoReyes @pablocasado_ @Albert_Rivera @Santi_ABASCAL @Pablo_Iglesias_</t>
  </si>
  <si>
    <t>https://pbs.twimg.com/media/Dtu2G-HWsAESoV0.jpg</t>
  </si>
  <si>
    <t>Asociación Profesional de #IngenieríaOrganizaciónIndustrial de 🇪🇸 | ingeniero 4.0 | Asóciate | IOI | Registro Nacional de Asociaciones nº171730</t>
  </si>
  <si>
    <t>http://www.aingoi.com</t>
  </si>
  <si>
    <t>𝔐𝔞𝔠𝔞𝔯𝔯𝔬́𝔫 ℭ𝔬𝔫 𝔗𝔬𝔪𝔞𝔱𝔦𝔠𝔬</t>
  </si>
  <si>
    <t>Me ha dado por mirar qué ocupación tenía el fascista de Santi Abascal y veo que es sociólogo xdd. Estudio sociología y no entiendo cómo un sociólogo puede ser tan radical. Lo primero, hay un código ético y moral que ni de coña lo respeta, y lo segundo que no es nada objetivo lmao</t>
  </si>
  <si>
    <t>https://pbs.twimg.com/media/Dtu0yIeWoAEoBQA.jpg</t>
  </si>
  <si>
    <t>Buenas soy gilipollas</t>
  </si>
  <si>
    <t>VOX 🇪🇸</t>
  </si>
  <si>
    <t>📺 ¿Es VOX un partido inconstitucional? @Santi_ABASCAL responde en dos minutos a @anarosaq en @elprogramadear #40AñosDeConstitución #DíaDeLaConstitución</t>
  </si>
  <si>
    <t>Cuenta oficial de VOX 📹 Suscríbete a nuestro canal de YouTube para no perderte ninguno de nuestros vídeos https://www.youtube.com/user/voxespana/</t>
  </si>
  <si>
    <t>Sergio</t>
  </si>
  <si>
    <t>Extremistas son todos aquellos que @Santi_ABASCAL tuvo que soportar durante años en su propia casa en el País Vasco, no Vox, un partido constitucionalista y legal que no arenga a las masas para que salgan a las calles a protestar contra el resultado de las urnas.</t>
  </si>
  <si>
    <t>pic.twitter.com/fQLljKX2BU</t>
  </si>
  <si>
    <t>Reino de España 🇪🇸</t>
  </si>
  <si>
    <t>Conservador, liberal y monárquico.</t>
  </si>
  <si>
    <t>LA ESPAÑAZUELA DEL DOCTOR #CUMFRAUDE La ley del Oeste llega a la sierra de Guadalajara: "Dormimos con la escopeta y un ojo abierto"- Libertad Digital | Versión Móvil (mobile)  @Santi_ABASCAL @monasterioR @GeneralDavila @CasaReal @Ortega_Smith @ivanedlm</t>
  </si>
  <si>
    <t>https://www.libremercado.com/2018-12-06/la-ley-del-oeste-llega-a-la-sierra-de-guadarrama-dormimos-con-la-escopeta-y-un-ojo-abierto-1276629364/</t>
  </si>
  <si>
    <t>Miguel Tomás</t>
  </si>
  <si>
    <t>ATENCIÓN: @anarosaq reconociendo en su entrevista a @Santi_ABASCAL que muchos de los inmigrantes que llegan de África son VIOLADORES, pero DEFIENDE que entren en España ilegalmente. Pon minuto 30:15 ("Esas pobres mujeres que son VIOLADAS en el camino...")</t>
  </si>
  <si>
    <t>https://www.youtube.com/watch?v=EdpZF3nLMF8</t>
  </si>
  <si>
    <t>Cristiano. Activista conservador. Provida. Profamilia natural. Anti marxismo cultural. Contra la agenda globalista. SysAdmin 👨‍👩‍👦‍👦🇪🇸✝️</t>
  </si>
  <si>
    <t>Pau BN</t>
  </si>
  <si>
    <t>Le habéis dicho a @Santi_ABASCAL que Franco ganó la guerra civil española, gracias también, a las fuerzas Regulares?, Básicamente eran marroquíes (moros)... #40AñosDeConstitución</t>
  </si>
  <si>
    <t>El Cid</t>
  </si>
  <si>
    <t>Reus, Catalunya</t>
  </si>
  <si>
    <t>Reusenc nascut a #Barcelona. Tècnic superior en gestió comercial i màrqueting. Demòcrata i del Barça.</t>
  </si>
  <si>
    <t>Al servicio de España 🇪🇸</t>
  </si>
  <si>
    <t>“nunca hemos vivido de la política” @Santi_ABASCAL #VOX</t>
  </si>
  <si>
    <t>Naci en Vivar del Cid (Burgos). Siempre he servido con lealtad a mi patria. Vencí a los moros cabalgando muerto sobre Babieca. 🇪🇸¡¡¡#VivaEspaña!!!🇪🇸</t>
  </si>
  <si>
    <t>https://es.m.wikipedia.org/wiki/Santiago_Abascal_Conde#Cargos_públicos</t>
  </si>
  <si>
    <t>https://pbs.twimg.com/media/DtuxhbCWsAA8j-Q.jpg</t>
  </si>
  <si>
    <t>Suyo de Usted</t>
  </si>
  <si>
    <t>Al hijo del destinatario de esta carta, al señor @Santi_ABASCAL le llamáis fascista. Lavaros la boca</t>
  </si>
  <si>
    <t>https://pbs.twimg.com/media/DtuxAuqWwAAYwbj.jpg</t>
  </si>
  <si>
    <t>De los de antes, directo. Asturiano coñón (de coña) y con retranca (de güasa). Dígolo porque salme del pijo</t>
  </si>
  <si>
    <t>Hola @Pablo_Iglesias_ @pnique y resto de inútiles mentales, vosotros alguna vez estudiais un poco el guión de la entrevista? Porque no podéis ser más patéticos y ridículos... Virgen Santa... @vox_es @Santi_ABASCAL @Ortega_Smith RT @lbalcarce: La cara que se le queda a 'Echeminga' cuando Ferreras le recuerda que Anguita también llevaba pistola no tiene precio.</t>
  </si>
  <si>
    <t>puerto piritu</t>
  </si>
  <si>
    <t>El #coletas de @ahorapodemos trata de desconocer resultados electorales de #Andalucía llamando a #comunistas a provocar violencia en las calles de #España , @Santi_ABASCAL @vox_es</t>
  </si>
  <si>
    <t>PUERTO PIRITU</t>
  </si>
  <si>
    <t>Grupo Critico</t>
  </si>
  <si>
    <t>Francisco José Rubio</t>
  </si>
  <si>
    <t>Con la Iglesia habéis topado @Santi_ABASCAL @vox_es</t>
  </si>
  <si>
    <t>https://pbs.twimg.com/media/DtuvtwMW0AAvlQK.jpg</t>
  </si>
  <si>
    <t>Murcia</t>
  </si>
  <si>
    <t>¿Quién dice la gente que soy yo?</t>
  </si>
  <si>
    <t>25.000 votos más para VOX y no sé cuántos menos para Ciudadanos. Como siga así, a este ritmo @Albert_Rivera se va a quedar con las ganas de todo, pero con las manos llenas de nada. @Vox_Pozuelo @vox_es @Santi_ABASCAL @CristinaSegui_ @carloscuestaEM @hermanntertsch @CiudadanosCs RT @okdiario: #ÚLTIMAHORA | C's pacta con PSOE y Podemos librar a Sánchez de explicar su tesis ‘fake’ en la Asamblea de Madrid</t>
  </si>
  <si>
    <t>https://twitter.com/okdiario/status/1070428145763921926
https://okdiario.com/espana/madrid/2018/12/05/cs-pacta-psoe-podemos-librar-sanchez-explicar-tesis-fake-asamblea-madrid-3432942?utm_campaign=ok&amp;utm_medium=Social&amp;utm_source=Twitter#Echobox=1544044930</t>
  </si>
  <si>
    <t>Grande @Santi_ABASCAL . Por favor, quítemos toda esa mierda putera que hay en Andalucia. RT @okdiario: .@vox_es exigirá una auditoria de todos los cargos enchufados por el régimen socialista andaluz en 40 años 🎥  Así nos lo contó @Santi_ABASCAL</t>
  </si>
  <si>
    <t>https://twitter.com/okdiario/status/1070304091610513408
https://okdiario.com/espana/2018/12/05/vox-exigira-auditoria-todos-cargos-enchufados-regimen-socialista-andaluz-40-anos-3429573?utm_campaign=ok&amp;utm_medium=Social&amp;utm_source=Twitter#Echobox=1544014926</t>
  </si>
  <si>
    <t>AdivinaComedia☀️</t>
  </si>
  <si>
    <t>Carta de ETA al padre de @Santi_ABASCAL nada más que decir.</t>
  </si>
  <si>
    <t>https://pbs.twimg.com/media/Dtut-JaWwAE6v7T.jpg</t>
  </si>
  <si>
    <t>Feliz con mi vida,mi familia mi mayor tesoro #Paulista #Sofista #lozanista #VOX Facha,Rebelde,irónica,imperfecta,alegre,una caja d emociones🇪🇸amo a los🐶</t>
  </si>
  <si>
    <t>Euprepio Padula</t>
  </si>
  <si>
    <t>Liderazgos extremos y extremas necesidades: la tormenta perfecta 🔴Bajo lupa los liderazgos de @Santi_ABASCAL y otros líderes de extrema derecha. Hoy en @expansioncom ‘L#liderazgo @vox_es #política #comunicación #VOX #DiaDeLaConstitución  vía @expansioncom</t>
  </si>
  <si>
    <t>http://www.expansion.com/opinion/2018/12/06/5c084f0046163f4f4f8b45ed.html</t>
  </si>
  <si>
    <t>Madrid y el mundo</t>
  </si>
  <si>
    <t>Presidente de Padula&amp;Partners.Experto en Liderazgo empresarial y político.Feminista.Mis opiniones en medios que respetan mi independencia.</t>
  </si>
  <si>
    <t>http://www.padulapartners.com</t>
  </si>
  <si>
    <t>🔴Bajo lupa los liderazgos de @Santi_ABASCAL y otros líderes de extrema derecha. Hoy en @expansioncom ‘Liderazgos extremos y extremas necesidades: la tormenta perfecta’ #liderazgo @vox_es #política #comunicación</t>
  </si>
  <si>
    <t>Aquí va lo que te saquean con el @impuestosucesio . Por eso quien quiere cerrar el canal sur, es un fascista. Porque les quita la mamandurria. No es ideología. Es dinero. Contante y sonante. cc/ @vox_es @FSerranoCastro @Mariajpinero23 @Santi_ABASCAL RT @Pepe_Fdez: Vaya por dios, los servidores de la transparencia de la @AndaluciaJunta se han venido abajo.... cosas mas raras.</t>
  </si>
  <si>
    <t>https://twitter.com/Pepe_Fdez/status/1070475474961383424</t>
  </si>
  <si>
    <t>https://pbs.twimg.com/media/DtsXlilWsAAUpWD.jpg</t>
  </si>
  <si>
    <t>Pedro Bayonas</t>
  </si>
  <si>
    <t>Gracias @Ortega_Smith por venir, una vez más, a defender el derecho y el orgullo de sentirse Español en Cataluña. @vox_es @Santi_ABASCAL #VoxAbascalTV3 #VoxAvanza #borbonia</t>
  </si>
  <si>
    <t>https://pbs.twimg.com/media/Dtusl5tX4AAb0k2.jpg</t>
  </si>
  <si>
    <t>Patriota en Catalunya | Defensor de los valores nacionales y de su historia | Estudiante de historia | Juego a Rugby | PRO DEO ET PATRIA.</t>
  </si>
  <si>
    <t>Merzouga</t>
  </si>
  <si>
    <t>Oir hablar a @Santi_ABASCAL y a @Pablo_Iglesias_ es regresar al pasado , a lo viejuno , a lo que no quisiéramos repetir .Aunque el discursos del resto de nuestros políticos es también vacuo y muy lamentable. Necesitamos imperiosamente gente de talla ,como la de hace 40 años</t>
  </si>
  <si>
    <t>Valencia, Comunidad Valenciana</t>
  </si>
  <si>
    <t>Cuando entiendas que no se trata de luchar sino de aceptar y fluir, habrás entendido la vida......</t>
  </si>
  <si>
    <t>Debéis saber quién es @Santi_ABASCAL; cómo ha luchado desde joven, cuando ya estaba amenazado de muerte, como su padre. Un VALIENTE. @anarosaq @elprogramadear @EspejoPublico @Desayunos_tve @mananascuatro @AlRojoVivo @MVTARDE</t>
  </si>
  <si>
    <t>Sin Filtros</t>
  </si>
  <si>
    <t>A @Pablo_Iglesias_ le deberían apodar el #levadura cada vez de habla sube @Santi_ABASCAL y @vox_es</t>
  </si>
  <si>
    <t>Debéis saber quién es @Santi_ABASCAL, como ha luchado desde joven, que ya estaba amenazado de muerte, como su padre. Un VALIENTE. @anarosaq @elprogramadear @EspejoPublico @Desayunos_tve @mananascuatro @AlRojoVivo @MVTARDE</t>
  </si>
  <si>
    <t>Todo Radio🇪🇸</t>
  </si>
  <si>
    <t>Cuando SANTI ABASCAL (VOX) visitó el pueblo más COMUNISTA de ESPAÑA: Marinaleda:  via @YouTube</t>
  </si>
  <si>
    <t>http://youtu.be/86Q_Q7v0RZk?a</t>
  </si>
  <si>
    <t>Somo, Cantabria</t>
  </si>
  <si>
    <t>Playa de Somo,Cantabria. ESPAÑA</t>
  </si>
  <si>
    <t>https://www.youtube.com/channel/UCzAeV22GnQxwUBokDOEyb4A</t>
  </si>
  <si>
    <t>MAlejita</t>
  </si>
  <si>
    <t>Es increíble que hay quienes realmente creen que las "manifestaciones antifascistas" que los podemitas han incitado y los izquierdosos han apoyado son pacificas y correctas..... y para rematar, que el extremo está en @Santi_ABASCAL y @vox_es</t>
  </si>
  <si>
    <t>En contra d las estupideces, la mediocridad y la vagabundería. A favor de la honestidad, la entrega y el trabajo. En Venezuela opositora. En España anti-podemos</t>
  </si>
  <si>
    <t>kIke</t>
  </si>
  <si>
    <t>Que me venga la #mugre diciendo que el señor @Santi_ABASCAL no es demócrata. Cuando él ha tenido que soportar este tipo de cosas simplemente por representar unas ideas LEGALES. Tanto él como su padre como el señor Urquijo que cojones demostraron</t>
  </si>
  <si>
    <t>SITING ON THA TOILET</t>
  </si>
  <si>
    <t>Muriel Rot</t>
  </si>
  <si>
    <t>Jeje Abascal no dijo ayer que lleve pistola encima. Dijo q no va a desvelar cuál es su seguridad. Y con eso quiere dar a entender que puede que la lleve. @Santi_ABASCAL Mi padre ha estado en tu situación (tb llevaba una). Si tienes que usarla agradecerás NO llevar un arma encima.</t>
  </si>
  <si>
    <t>-Los revolucionarios o son estúpidos o deshonestos- Vasili Grossman http://voicesfromspain.com</t>
  </si>
  <si>
    <t>Jesús González</t>
  </si>
  <si>
    <t>A falta del auténtico protagonista de la semana, Santi Abascal... Habrá que contar con el sobrero habitual @MonederoJC Siempre dispuesto. RT @_InakiLopez_: Este sábado @MonederoJC en @SextaNocheTV</t>
  </si>
  <si>
    <t>https://twitter.com/_InakiLopez_/status/1070632020173381632
https://twitter.com/MonederoJC/status/1068536632821706753</t>
  </si>
  <si>
    <t>Un creyente en nuestro futuro. A pesar de Pedro Sánchez.</t>
  </si>
  <si>
    <t>⚔️JohnDownie🇯🇪🏴󠁧󠁢󠁳󠁣󠁴󠁿🇪🇸</t>
  </si>
  <si>
    <t>Haciendo historia @vox_es 12 diputados. #Andalucía vota el #cambiodegobierno tras 40 años de #régimenPsoe y #Vox es parte partícipe del #cambiodepoder @VOXSevilla @FSerranoCastro @Ortega_Smith @Santi_ABASCAL @voxnoticias_es #VoxAvanza #EspañaViva #AndalucíaporEspaña</t>
  </si>
  <si>
    <t>https://pbs.twimg.com/media/Dtup3mAWkAIQn_O.jpg</t>
  </si>
  <si>
    <t>Bruselense</t>
  </si>
  <si>
    <t>Alcanzo a entender al deslenguado chivo que @vox_es es un partido inconstitucional...@Santi_ABASCAL @voxnoticias_es @VOX_Valencia @madrid_vox @proVox_antifake @Vox_Andalucia</t>
  </si>
  <si>
    <t>pic.twitter.com/7VuuBpqK0j</t>
  </si>
  <si>
    <t>Bruselas</t>
  </si>
  <si>
    <t>Observador de la realidad política y social internacional: en defensa de la vida, la familia y la libertad religiosa</t>
  </si>
  <si>
    <t>http://bruselense.wordpress.com</t>
  </si>
  <si>
    <t>Españolpuracepa 🇪🇸🇪🇸🇪🇸🇪🇸🇪🇸🇪🇸</t>
  </si>
  <si>
    <t>Ya agreden incluso a los que antes defendian...urge un 155 PARA defender a los catalanes de una Generalitat independentista. @Santi_ABASCAL @voxnoticias_es</t>
  </si>
  <si>
    <t>https://www.elmundo.es/cataluna/2018/12/06/5c08f974fc6c834c318b47ab.html</t>
  </si>
  <si>
    <t>Mikel Septien</t>
  </si>
  <si>
    <t>Se esta notando el auge de la ultra-derecha. Santi Abascal tomando los mandos de Spotify</t>
  </si>
  <si>
    <t>https://pbs.twimg.com/media/DtuptLHWwAEP5Pl.jpg</t>
  </si>
  <si>
    <t>Laudio (E.H.)</t>
  </si>
  <si>
    <t>Aficionado del Athletic, Baskonia, Pats y Boston Celtics. Yo tampoco se vivir, estoy improvisando. Intento de ingeniero en la ETSIB.</t>
  </si>
  <si>
    <t>gloriaviz</t>
  </si>
  <si>
    <t>Bravo 👏👏👏👏 @Santi_ABASCAL sin desperdicio  orgullo para España, Dios te bendiga y proteja. ESPAÑA TE NECESITA.❤💛❤</t>
  </si>
  <si>
    <t>Enemiga número uno del COMUNISMO en todas sus presentaciones.</t>
  </si>
  <si>
    <t>Imprensentables y manipuladoras @La_SER y Angels Barceló @abarceloh25 por el titular del video de la entrevista a @Ortega_Smith de @vox_es. @Santi_ABASCAL @canasporespana @Alternativa_VOX #40AñosDeConstitución #DíaDeLaConstitución #ConstituciónEspañola.</t>
  </si>
  <si>
    <t>https://www.youtube.com/watch?v=KKcf5UC8U1E</t>
  </si>
  <si>
    <t>VoX Palencia</t>
  </si>
  <si>
    <t>En VOX no paramos a @Santi_ABASCAL para pedirle que no nos defraude. Sabemos que no lo hará RT @JuanMarin_Cs: Así es, Celso: tengo un compromiso contigo, con los 660.000 ciudadanos que me han dado su confianza y con esa gran mayoría del pueblo andaluz que ha votado un cambio histórico para su tierra. No será fácil, pero podéis estar seguros: lo tendremos 💪🏻🍊</t>
  </si>
  <si>
    <t>https://twitter.com/juanmarin_cs/status/1070251318357446656
https://twitter.com/doctorpareja/status/1070224602385838080</t>
  </si>
  <si>
    <t>VOX es un proyecto político para la renovación y el fortalecimiento de la vida democrática española</t>
  </si>
  <si>
    <t>Pepe el Ninja</t>
  </si>
  <si>
    <t>Santi Abascal está pasando la crisis de los 40... De los años 40.</t>
  </si>
  <si>
    <t>Osaka de la Frontera</t>
  </si>
  <si>
    <t>Los ninjas somos gente educada, pero no nos toques los cojones porque... ¡Fiú, fiú!</t>
  </si>
  <si>
    <t>Angel de Frutos🇪🇸</t>
  </si>
  <si>
    <t>Bravo @vox_es y bravo @Santi_ABASCAL 👏👏👏👏👏👏 RT @elmundoes: Vox exige devolver al Estado las competencias de educación y sanidad a cambio de su apoyo. También quiere suprimir Canal Sur</t>
  </si>
  <si>
    <t>https://twitter.com/elmundoes/status/1070380042604216321
https://trib.al/WLRS4ph</t>
  </si>
  <si>
    <t>Español, madrileño y madridista, políticamente incorrecto cuando hay que serlo, digo las cosas tal como las pienso, sin tapujos. Diálogo si, insultos bloqueo.</t>
  </si>
  <si>
    <t>Eligio Delgado</t>
  </si>
  <si>
    <t>La insistencia de los medios desde #EleccionesAndalucia en el fenómeno @vox_es y los altercados callejeros alentados por el líder podemita, demuestran que cada escaño que consigue @Santi_ABASCAL equivale a 10 del resto de los partidos #40AñosDeConstitución</t>
  </si>
  <si>
    <t>Un tachunda más</t>
  </si>
  <si>
    <t>Carlos Zayas</t>
  </si>
  <si>
    <t>Al chico de los recados de #Podemos @pnique le preocupa mucho que #VOX @Santi_ABASCAL lleve pistola como medida de protección, pero no le preocupa mucho, parece, que militantes socialistas bolivarianos #PSUV las usen para disparar contra jóvenes universitarios en protestas... 🤔</t>
  </si>
  <si>
    <t>https://pbs.twimg.com/media/Dtum1OzWsAAE8Vs.jpg</t>
  </si>
  <si>
    <t>Entre Sevilla y Caracas. Por ahí.</t>
  </si>
  <si>
    <t>Apasionado de la libertad ergo antagonista irreconciliable del Socialismo Internacional. Las Guarimbas son las calles, son Venezuela.</t>
  </si>
  <si>
    <t>ntoonio conño</t>
  </si>
  <si>
    <t>...ya podríamos tener más @willperman y menos @Santi_ABASCAL en este país, seguro que nos iría mucho mejor... ¿no crees?</t>
  </si>
  <si>
    <t>...</t>
  </si>
  <si>
    <t>El Zascómetro</t>
  </si>
  <si>
    <t>Mientes, @Santi_ABASCAL so canalla. quieres el voto - machista - xenófobo - católico - taurino - nazionalista Es decir, el antidemocrático, anticonstitucional y anti DDHH. Qué asco dáis, @vox_es @Machisstometro</t>
  </si>
  <si>
    <t>https://pbs.twimg.com/media/DtukrFZXQAE6f8O.jpg</t>
  </si>
  <si>
    <t>Nacemos para sonreír con las delicias que Twitter nos regala en forma de Zasca al Cuñado. Hacemos el Zasca de Oro en.https://alcantarillasocial.com/zasca-oro/</t>
  </si>
  <si>
    <t>https://www.facebook.com/ZassCometro/</t>
  </si>
  <si>
    <t>Alberto Jensen4</t>
  </si>
  <si>
    <t>SANTI ABASCAL ES UN PUTO HÉROE</t>
  </si>
  <si>
    <t>https://pbs.twimg.com/media/Dtuj4I_X4AE-f75.jpg</t>
  </si>
  <si>
    <t>Virginia, USA</t>
  </si>
  <si>
    <t>Orgulloso Español, católico, Piloto de Aviación. Historiador. Madre sueca. Coleccionista de insultos progres y separatas, cuenta bloqueada 4 veces,VOX 🇪🇸🇸🇪</t>
  </si>
  <si>
    <t>SOS CIUDADANOS</t>
  </si>
  <si>
    <t>🔴 Unos en el Congreso con las consignas de siempre y otros en primera línea dándolo todo. #vox @Santi_ABASCAL 👏 RT @CasoAislado_Es: Los violentos CDR tratan de evitar en Gerona un acto de @vox_es en defensa de la Constitución. Pese a la violencia de los independentistas, VOX le echa cojones y seguirá adelante con el acto. #40añosDeConstitución. #DíaDeLaConstitución</t>
  </si>
  <si>
    <t>https://twitter.com/casoaislado_es/status/1070611609742204928
https://casoaislado.com/vox-sale-defensa-la-constitucion-gerona-ante-la-rabia-violencia-los-cdr/</t>
  </si>
  <si>
    <t>Porque la ciudadanía clama por un cambio, porque la sociedad parece haber salido de su letargo, porque juntos podemos lograrlo. ¿Te unes a nosotros? ☺️👍🏻</t>
  </si>
  <si>
    <t>ESTOS PODEMITAS QUE SON TAN FEMINISTAS DE BOQUILLA Y DEFIENDEN TANTO A LA MUJER...LES ENCANTAN LOS MOROS Y HASTA @sanchezcastejon LES DA BECAS UNIVERSITARIAS Y LES PAGA SUS ESTUDIOS....POR FAVOR...TODO EL MUNDO A VOTAR A @Santi_ABASCAL Y VIVA ESPAÑA!</t>
  </si>
  <si>
    <t>http://www.argumentopolitico.com/2016/07/grupo-de-cientificos-arabes-admite-que.html?m=1</t>
  </si>
  <si>
    <t>Babosita Mimosina</t>
  </si>
  <si>
    <t>Carta de amenaza de los asesinos de #ETA a @Santi_ABASCAL. Y luego dicen los viles e infames que @vox_es es fascismo. Los mismos que promulgan a @ArnaldoOtegi, que perteneció a ETA, como hombre de paz. Los mismos que pactan con Bildu, el brazo político de ETA. Gentuza. RT @hermanntertsch: Mientras los Abascal recibían cartas como esta, otros se dedicaban a las loas a ETA y al FRAP, ayudaban todo lo que pudieran a las estructuras etarras y hoy corean los llamamientos a la violencia de los comunistas de Podemos.</t>
  </si>
  <si>
    <t>Cuenta en http://Gab.ai @BabositaM</t>
  </si>
  <si>
    <t>Es bueno escuchar a @Santi_ABASCAL en vez de dar pábulo y cuartel a lo que "dicen, que dice Abascal". RT @vox_es: 🚨 Rueda de prensa de @Santi_ABASCAL ⤵ 🗨 "Queremos reformar el Estatuto andaluz para que esta comunidad sea pionera en devolver competencias". 🗨 "No tenemos voluntad de entrar en el Gobierno, no queremos consejerías, ni sillones, ni presidir el Parlamento".</t>
  </si>
  <si>
    <t>Adolfo</t>
  </si>
  <si>
    <t>A ver @Pablo_Iglesias_ estas son las credenciales de @Santi_ABASCAL ...cuáles son las tuyas? Una sentencia de un juez ? RT @hermanntertsch: Mientras los Abascal recibían cartas como esta, otros se dedicaban a las loas a ETA y al FRAP, ayudaban todo lo que pudieran a las estructuras etarras y hoy corean los llamamientos a la violencia de los comunistas de Podemos.</t>
  </si>
  <si>
    <t>Liberal (American style), promotor de la Ciencia, a favor de la igualdad de oportunidades, europeísta, por la unidad de España</t>
  </si>
  <si>
    <t>Tripl3t3 de Champions</t>
  </si>
  <si>
    <t>Y por último, te animo a q digas el % de mujeres q mueren a manos d españoles versus extranjeros. Los españoles cuando son denunciados falsamente y despojados de todo tienden más a suicidarse ante el escarnio al q se ven sometidos @anarosaq @Santi_ABASCAL #NoALaIdeologiaDeGenero RT @Viking_RM: Sigo: y así después de muchos años de sufrimiento, la justicia es lentísima, se acaba con una condena injusta una sentencia falsa porque no hay presunción de inocencia en contra de lo que reza la Constitución. @anarosaq @Santi_ABASCAL</t>
  </si>
  <si>
    <t>https://twitter.com/Viking_RM/status/1070626778954260480
https://twitter.com/Viking_RM/status/1070625974595846145</t>
  </si>
  <si>
    <t>Raúl MJ</t>
  </si>
  <si>
    <t>Pensé que nunca encontraría a alguien que me causara tanto rechazo como el "Team indepe", pero si... lo hay!! Y se llama @Santi_ABASCAL</t>
  </si>
  <si>
    <t>En er conio mi prima</t>
  </si>
  <si>
    <t>Un boquerón licenciado en Derecho, con demasiadas leyes. Yo vivo a mi manera, que digan lo que quieran. No DM. S👬R</t>
  </si>
  <si>
    <t>VoxCiudadanosLibres</t>
  </si>
  <si>
    <t>Muy bien @Santi_ABASCAL</t>
  </si>
  <si>
    <t>http://voxespersonaslibres.esy.es/</t>
  </si>
  <si>
    <t>Regen Bogen</t>
  </si>
  <si>
    <t>Sabino Cuadra rompiendo la #ConstituciónEspanola en la tribuna del Congreso vs @Santi_ABASCAL, el "Inconstitucional", (de rojo) aguantando batasunos #40AñosDeConstitución</t>
  </si>
  <si>
    <t>https://pbs.twimg.com/media/DtuhfEwW4AAo8bz.jpg</t>
  </si>
  <si>
    <t>Bilbao 'Nos movemos siempre entre situaciones límite, pero yo limito sólo con el viento' Blas de Otero. Las diferencias nos unen. ¡Fuera el cupo vasco!</t>
  </si>
  <si>
    <t>☠️JayVanian☠️</t>
  </si>
  <si>
    <t>Santi Abascal no es fascista. Puede ser un mentiroso, un cerdo, un idiota, un fascista... PERO DE ACTOR PORNO NO TIENE NADA</t>
  </si>
  <si>
    <t>https://pbs.twimg.com/media/DtuhgQ3WsAAXxym.jpg</t>
  </si>
  <si>
    <t>KaliYuga</t>
  </si>
  <si>
    <t>Simpático pero demente. Me gusta el dolce far niente. Soy adicto al consumo de todo lo que hay. Luego me redimo con Cocacola light –WH– I.THINK.I'M.WONDERFUL!!!</t>
  </si>
  <si>
    <t>Sigo: y así después de muchos años de sufrimiento, la justicia es lentísima, se acaba con una condena injusta una sentencia falsa porque no hay presunción de inocencia en contra de lo que reza la Constitución. @anarosaq @Santi_ABASCAL RT @Viking_RM: Continúo: Y entonces ante el hecho de q es la palabra de la mujer contra la del hombre y vale más la de la mujer, en no pocos casos se tiene q aceptar una sentencia condenatoria pactada para q te dejen continuar con tu vida, y se acaba la denuncia falsa. @anarosaq @Santi_ABASCAL</t>
  </si>
  <si>
    <t>https://twitter.com/Viking_RM/status/1070625974595846145
https://twitter.com/Viking_RM/status/1070625355092975618</t>
  </si>
  <si>
    <t>Continúo: Y entonces ante el hecho de q es la palabra de la mujer contra la del hombre y vale más la de la mujer, en no pocos casos se tiene q aceptar una sentencia condenatoria pactada para q te dejen continuar con tu vida, y se acaba la denuncia falsa. @anarosaq @Santi_ABASCAL RT @Viking_RM: Y también dices @anarosaq que no hay denuncias falsas según fiscalía. Te lo explico: esta bazofia de ley a diferencia del resto del código penal, invierte la carga de la prueba. Es decir, el acusado debe demostrar su inocencia, hay presunción de culpabilidad. @Santi_ABASCAL 1/2</t>
  </si>
  <si>
    <t>https://twitter.com/Viking_RM/status/1070625355092975618
https://twitter.com/Viking_RM/status/1070602043058995200</t>
  </si>
  <si>
    <t>Sššn</t>
  </si>
  <si>
    <t>La biografía de .@Santi_ABASCAL demuestra que el franquismo es una forma de vida parásita, no una ideología. RT @MalditoDato: Cuando Abascal cobraba más que el Presidente del Gobierno por cargos a dedo pagados con dinero público.</t>
  </si>
  <si>
    <t>https://twitter.com/malditodato/status/1069642702004908032
https://maldita.es/malditodato/cuando-abascal-cobraba-mas-que-el-presidente-del-gobierno-por-cargos-a-dedo-pagados-con-dinero-publico/</t>
  </si>
  <si>
    <t>No hay tromba de paredones, ni balas, ni relojes, no habrá sogas capaces de hacernos bueyes: ¡Nuestro cuello no se dobla!. Marcos Ana</t>
  </si>
  <si>
    <t>Maria Montsonís</t>
  </si>
  <si>
    <t>Aquí en Girona, esperando a @Santi_ABASCAL para darle la bienvenida y el cobarde ese va y ni aparece... ESTO ES UN PUTO FRACASO! Media hora de retraso...</t>
  </si>
  <si>
    <t>pic.twitter.com/vOKIsFJTqB</t>
  </si>
  <si>
    <t>Font de la pòlvora</t>
  </si>
  <si>
    <t>Secretària d'alcaldia. Piulo des de la feina, on faig veure que em guanyo el sou q em pagueu entre tots. Liquidadora de la soberania nacional, sediciosa i rebel</t>
  </si>
  <si>
    <t>http://titeresdesdeabajo.blogspot.com.es/2012/11/compania-de-titeres-desde-abajo.html?m=1</t>
  </si>
  <si>
    <t>Y también dices @anarosaq que no hay denuncias falsas según fiscalía. Te lo explico: esta bazofia de ley a diferencia del resto del código penal, invierte la carga de la prueba. Es decir, el acusado debe demostrar su inocencia, hay presunción de culpabilidad. @Santi_ABASCAL 1/2 RT @Viking_RM: @anarosaq por qué no das las cifras de suicidios de hombres en el ámbito familiar tras recibir denuncias falsas y quedarse en el calabozo y en la calle sin su casa y sus hijos?! #AbascalAR eh!? 14 años de presunción de culpabilidad en una ley anticonstitucional @vox_es</t>
  </si>
  <si>
    <t>https://twitter.com/Viking_RM/status/1070602043058995200</t>
  </si>
  <si>
    <t>Abel</t>
  </si>
  <si>
    <t>Nuestros bufones de @eljueves nunca defraudan 🤣🤣🤣🤣🤣🤣🤣 Qué grandes sois cabronazos! Espero que @Santi_ABASCAL se lo ponga de wallpaper en el computer. RT @eljueves: Este es el árbol genealógico de la pureza racial española. ¡Descubre el resto de las viñetas!</t>
  </si>
  <si>
    <t>https://twitter.com/eljueves/status/1070303226128424961
https://www.eljueves.es/temazo/eres-impostor-morenazi_3005?utm_source=twitter&amp;utm_medium=social&amp;utm_campaign=trafico</t>
  </si>
  <si>
    <t>https://pbs.twimg.com/media/Dtp6zYEWsAAWw_X.jpg</t>
  </si>
  <si>
    <t>Aprendiz de mucho... maestro de Primaria.</t>
  </si>
  <si>
    <t>http://alrebullon.blogspot.com/</t>
  </si>
  <si>
    <t>J.Manuel Maireles</t>
  </si>
  <si>
    <t>Porque no le escribimos tod@s al señor @Pablo_Iglesias_ porque no se ha ido a las urnaso gente que confiaron en ellos han votado un partido como el que representa @Santi_ABASCAL . Asi puede hacer autocritica.</t>
  </si>
  <si>
    <t>Nacido en el mejor sitio posible ESTEPA</t>
  </si>
  <si>
    <t>jesus sancho conde</t>
  </si>
  <si>
    <t>Por 1 Euro más te regalan la biografía de @Santi_ABASCAL. "Mi camino. Del concierto Vasco al cierre de Canal sur". RT @el_pais: Tras las elecciones andaluzas, Vox ya está a punto de sumar 20.000 militantes de pago (nueve euros al mes) y recibe 1.000 afiliaciones diarias</t>
  </si>
  <si>
    <t>https://twitter.com/el_pais/status/1070402678654529536
https://elpais.com/politica/2018/12/05/actualidad/1544036869_183925.html?id_externo_rsoc=TW_CM</t>
  </si>
  <si>
    <t>Mollet Barcelona</t>
  </si>
  <si>
    <t>1. Negación. 2. Ira. 3. Negociación. 4. Depresión. 5. Aceptación. No me invites a comer, regálame el traje.</t>
  </si>
  <si>
    <t>Locas Del Coño</t>
  </si>
  <si>
    <t>Que @Santi_ABASCAL dice que los datos de hombres que mueren a manos de mujeres se ocultan porque no interesa mostrarlos. Pues ojalá, Santi. Ojalá. Pero como diría Dolores O'Riordan: "It's in your head, in your head. Zombie, zombie, zombie-ie-ie" Link:</t>
  </si>
  <si>
    <t>https://bit.ly/2QhHMgi</t>
  </si>
  <si>
    <t>https://pbs.twimg.com/media/DtuefXmXcAAbEzv.jpg</t>
  </si>
  <si>
    <t>Revista feminista colaborativa digital. El feminismo será transversal o no será. Si tocan a una, nos tocan a todas.</t>
  </si>
  <si>
    <t>http://locarconio.com</t>
  </si>
  <si>
    <t>Ni caso, @Santi_ABASCAL a @Pablo_Iglesias_ no se le puede transformar, pero sí destruir. RT @PedroInsua1: Es una pena, @Santi_ABASCAL , que no utilices a Lenin, su centralismo y su antifederalismo, contra Pablo Iglesias. Reforzaría tú discurso, acertado, en defensa de la soberanía nacional española, amenazada por el separatismo. Una lástima, insisto.</t>
  </si>
  <si>
    <t>https://twitter.com/PedroInsua1/status/1070600103612825600
https://www.abc.es/espana/abci-santiago-abascal-define-como-antipodemita-y-anticomunista-201812051148_video.html</t>
  </si>
  <si>
    <t>Juan</t>
  </si>
  <si>
    <t>En el #DiaDeLaConstitucion Albert Rivera va enseñando la "patita" con VOX. No descarta gobernar con los fascistas de @Santi_ABASCAL en Andalucia. Es como una veleta.</t>
  </si>
  <si>
    <t>https://pbs.twimg.com/media/DtudAkUWsAIJ2Jl.jpg</t>
  </si>
  <si>
    <t>Si la sociedad no funciona, es un deber con tu ayuda intentar transformarla</t>
  </si>
  <si>
    <t>Alta voz</t>
  </si>
  <si>
    <t>Mi admiración por @Santi_ABASCAL . Una vida completa en la lucha por defender la unidad de España y la Constitución. Durante 1999-2007 continuamente amenazado por ETA, cuando asumió ser concejal LLodio. Esta persona asusta a @CiudadanosCs y @Albert_Rivera?? #40AñosDeConstitución</t>
  </si>
  <si>
    <t>Armilla</t>
  </si>
  <si>
    <t>Vidal Izquierdo 🇪🇸</t>
  </si>
  <si>
    <t>Porque la escucha del emisor es lo más importante. El ruido que generan los repetidores hace que la información llegue tergiversada. Entrevista completa de @anarosaq al líder de @vox_es @Santi_ABASCAL</t>
  </si>
  <si>
    <t>Valladolid, España.</t>
  </si>
  <si>
    <t>Elige un trabajo que te guste y no tendrás que trabajar ni un día de tu vida -Confucio- . Todólogo. Y además escucho LA JUNGLA del Abellán en http://www.radio4g.com</t>
  </si>
  <si>
    <t>http://www.vidalizquierdo.blogspot.com</t>
  </si>
  <si>
    <t>José Miguel Alonso</t>
  </si>
  <si>
    <t>Me surge una duda: ¿Qué pensará @JavierMaroto de la propuesta de @Santi_ABASCAL y @vox_es en lo referente a la derogación del derecho matrimonio igualitario? Las políticas afectan a las personas, piensen antes de pactar...</t>
  </si>
  <si>
    <t>Salobreña, Armilla, Arjonilla</t>
  </si>
  <si>
    <t>Aparejador | MU Gestión y Seguridad en Edificación | CUS Eficiencia Energética | TSPRL | Andaluz | #laELAexiste | #EternaLucha | #Malafollá | Socialdemócrata</t>
  </si>
  <si>
    <t>http://www.gesolte.com</t>
  </si>
  <si>
    <t>Vox Terrassa</t>
  </si>
  <si>
    <t>🔴📰 @Santi_ABASCAL advierte "Hay un germen tremendamente violento de la hoz y el martillo arengado e impulsado por Pablo Iglesias. Pedro Sánchez debería llamar al orden a su socio. Si no lo hace será responsable de cualquier agresión que se produzca"</t>
  </si>
  <si>
    <t>Terrassa, España 🇪🇸</t>
  </si>
  <si>
    <t>Cuenta oficial de VOX Terrassa. #VOXAvanza #VOXÚtil #AHORAVox 💚</t>
  </si>
  <si>
    <t>arturo</t>
  </si>
  <si>
    <t>Pobre Echeminga...ya le crujen hasta en la Sexta, parece @BeatrizTalegon... @Santi_ABASCAL @vox_es #40AñosDeConstitución #Constitución40 Pablo Echenique Pablo Iglesias Podemos #ConstitucionEspanola Constitución Española</t>
  </si>
  <si>
    <t>pic.twitter.com/LS3jDmZChV</t>
  </si>
  <si>
    <t>Laissez faire et laissez passer, le monde va de lui même.</t>
  </si>
  <si>
    <t>David Alonso García</t>
  </si>
  <si>
    <t>Que dice Santi Abascal que “la información se produce A PESAR de los periodistas” y por eso defiende “el uso de las RRSS para informarse”. En vez del Telediario, un hilo de memes.</t>
  </si>
  <si>
    <t>https://pbs.twimg.com/media/DtuaJOKWwAA1rn4.jpg</t>
  </si>
  <si>
    <t>León, España</t>
  </si>
  <si>
    <t>1990. Periodista | Redactor de economía y política en la sección de Castilla y León (SPC) del Grupo Promecal | Maneras de vivir.</t>
  </si>
  <si>
    <t>http://www.linkedin.com/pub/david-alonso-garcia/79/5b0/333</t>
  </si>
  <si>
    <t>Álvaro</t>
  </si>
  <si>
    <t>Imaginen que sale @Santi_ABASCAL y tras el proceso democrático saca 0 diputados y se le ocurre decir lo mismo. RT @Alvisepf: Fuera máscaras: Escuchen el discurso que @Pablo_Iglesias_ dio anoche: Un discurso guerracivilista y extremista que amenaza con ganar en revueltas callejeras lo que democráticamente han perdido en las urnas... Esta es la verdadera cara del líder de la extrema izquierda española.</t>
  </si>
  <si>
    <t>https://twitter.com/Alvisepf/status/1069460783548022784</t>
  </si>
  <si>
    <t>pic.twitter.com/Nu9E0VdTyh</t>
  </si>
  <si>
    <t>Oncófago reconvertido. Ingeniero de Telecomunicaciones. Apasionado del ciclismo. Disfrutando de la vida</t>
  </si>
  <si>
    <t>Milton Benedict</t>
  </si>
  <si>
    <t>Aquí la carta que los socios de @PSOE escribieron al padre de @Santi_ABASCAL . Creo que @sanchezcastejon debería ir pensando en dejar de tratar con estos extorsionadores.</t>
  </si>
  <si>
    <t>https://pbs.twimg.com/media/DtuX3ZvW4AAk-v1.jpg</t>
  </si>
  <si>
    <t>Sancho, si los perros ladran es señal de que avanzamos.</t>
  </si>
  <si>
    <t>@Purqueras</t>
  </si>
  <si>
    <t>Mira enano tullido mechado de odio y bilis @pnique Pablito Echamierda. Cuando tu andabas por Argentina sin una silla como la que te ha ayudado España a tener, el etarra Oyegui y amigos mandaban estas felicitaciones a @Santi_ABASCAL .Por eso lleva pistola, imbecil inculto RT @RosaGJAraujo1: @eduardoinda @Guzmansuli1 Para que vea el petardo éste por qué Abascal lleva arma desde hace tiempo.</t>
  </si>
  <si>
    <t>https://twitter.com/RosaGJAraujo1/status/1070611908825362432</t>
  </si>
  <si>
    <t>https://pbs.twimg.com/media/DtuT2iDWsAUphwI.jpg</t>
  </si>
  <si>
    <t>Guarromán, España</t>
  </si>
  <si>
    <t>Español, Europeo, Ciudadano del Mundo. Harto de Pigdemont, Porqueras, Potegui, Torraente, Schz y demas golpistas. La satira y la ironia son la salsa de la vida</t>
  </si>
  <si>
    <t>Descrito en pocas palabras @vox_es y el analfabetismo de @Santi_ABASCAL RT @Cazatalentos: En definitiva...</t>
  </si>
  <si>
    <t>https://twitter.com/cazatalentos/status/1070450229516910592</t>
  </si>
  <si>
    <t>pic.twitter.com/OdQg22YN5c</t>
  </si>
  <si>
    <t>Alejandro López</t>
  </si>
  <si>
    <t>Pues si bastante de acuerdo con la entrevista ayer de @Santi_ABASCAL enorme 👏👏👏👏</t>
  </si>
  <si>
    <t>La historia de uno mismo.</t>
  </si>
  <si>
    <t>Sigue la estrategia iniciada por los fascistas de vox y su "jefe" @Santi_ABASCAL EL MAMANDURRIAS RT @DigitalSevilla: Eduardo Inda acusa a Pablo Iglesias de querer que “me partan la cara por la calle”</t>
  </si>
  <si>
    <t>https://twitter.com/DigitalSevilla/status/1070256535698321408
https://buff.ly/2EisAt4</t>
  </si>
  <si>
    <t>Igualdad o Equidad</t>
  </si>
  <si>
    <t>Lo de abajo para @vox_es y @Santi_ABASCAL ETICA, MORAL Y VALORES. RT @OEquidad: @ahorapodemos @Irene_Montero_ @radiocable Vivir de lo publico no tiene nada malo mientras se es honrado y honesto. Los funcionarios llevan toda su vida viviendo declo público. Lo que es ectraño es llegar a la politica y en poco tiempo comprarse una casita de un millon de euros con ideales que defienden lo contrario</t>
  </si>
  <si>
    <t>https://twitter.com/OEquidad/status/1070608545538809856</t>
  </si>
  <si>
    <t>En busca de una sociedad responsable, coherente y mejor; recuperando valores y justicia para todos. Derechos y también obligaciones.</t>
  </si>
  <si>
    <t>Trumpista de primera hora</t>
  </si>
  <si>
    <t>Aquì @Santi_ABASCAL explicando por qué hay que cerrar esa televisiòn socialista que tanto daño hace a la salud mental de muchos andaluces @vox_es #VOXAvanza @Vox_Andalucia  vía @elmundoes</t>
  </si>
  <si>
    <t>https://www.elmundo.es/espana/2018/12/05/5c081412fc6c83685d8b4777.html</t>
  </si>
  <si>
    <t>🇪🇸Triàngulo Jerez-San Roque-</t>
  </si>
  <si>
    <t>El problema en Venezuela no es que el socialismo haya sido mal implementado sino que ha sido plenamente implementado. Donald Trump. Naciones Unidas.19-09-2017</t>
  </si>
  <si>
    <t>Guillermo Rodríguez</t>
  </si>
  <si>
    <t>Os propongo una cosa, ¿qué os parece si mañana hacemos todos el Día sin Vox? Imaginaos un día entero sin oír noticias de Vox, sin verle el geto a Santi Abascal, sin escuchar un análisis supervacío sobre de quién es la culpa? Imaginaos un timeline libre de Vox por un día.</t>
  </si>
  <si>
    <t>Madrid, por ahora</t>
  </si>
  <si>
    <t>Fan total del helado, excepto del de menta con chocolate.</t>
  </si>
  <si>
    <t>Voyager</t>
  </si>
  <si>
    <t>Más votos para @Santi_ABASCAL y @vox_es RT @marubimo: Una muestra del nivel intelectual de las "revolusssionarias antifas" y antidemócratas concentradas en Sevilla. Están tan sumamente preparadas, que su ideología no sobrepasa a un folleto que han leído en los cuartos de baño de la universidad. Qué bochorno de sistema educativo 🙈</t>
  </si>
  <si>
    <t>https://twitter.com/marubimo/status/1070032559973851136</t>
  </si>
  <si>
    <t>pic.twitter.com/EhmKbN5gyJ</t>
  </si>
  <si>
    <t>Interstellar space</t>
  </si>
  <si>
    <t>Políticamente incorrecto. La realidad ante los ojos de todos.</t>
  </si>
  <si>
    <t>http://voyager.jpl.nasa.gov</t>
  </si>
  <si>
    <t>Cuando @pnique demuestres tener los cojones d @Santi_ABASCAL podrás hablar de él. Mientras tanto a callar la boca. Un respeto, rata. RT @Unademadrid: El vídeo de un jovencísimo Santiago Abascal que debería dar vergüenza a Podemos - ESdiario.</t>
  </si>
  <si>
    <t>https://twitter.com/Unademadrid/status/1070609147878621184
https://www.esdiario.com/453023193/El-video-de-un-jovencisimo-Santiago-Abascal-que-deberia-dar-verguenza-a-Podemos.html</t>
  </si>
  <si>
    <t>José A Martínez🔻 #AntiFascista</t>
  </si>
  <si>
    <t>#VivaElRey #VivaElOrdenYLaLey #FrancoSeQueda decían @pablocasado_ y @Albert_Rivera abrieron la puerta al discurso de #FusilemosALosRojos #ExpulsionInmigrantes stop #feminismo de @Santi_ABASCAL y @vox_es. Contra el fascismo más @elpce...</t>
  </si>
  <si>
    <t>https://pbs.twimg.com/media/DtuOTSJXQAEft_N.jpg</t>
  </si>
  <si>
    <t>Secretario Político del @PCESevillalocal Miembro Secretariado Provincial @PCA_sevilla Militante del @PCECerroAmate</t>
  </si>
  <si>
    <t>http://pcasevillalocal.org</t>
  </si>
  <si>
    <t>DRE 🇪🇸</t>
  </si>
  <si>
    <t>Los mismos que se escandalizan porque un bedel del Ku Klux Klan felicite los buenos electorales a Abascal, al mismo tiempo se toma la libertad de bosquejar su árbol genealógico repleto de ramplonería e ignominia en el que Santi es un destilado de moros, perros, y catetos. 🤦‍♂️</t>
  </si>
  <si>
    <t>https://pbs.twimg.com/media/DtuOHlAW4AALbVV.jpg</t>
  </si>
  <si>
    <t>Santander, España</t>
  </si>
  <si>
    <t>Semental</t>
  </si>
  <si>
    <t>http://dresantander.tumblr.com/</t>
  </si>
  <si>
    <t>Pensadora al ataque</t>
  </si>
  <si>
    <t>JAJAJAJAJAJAJAJAJAJAJAJAJAJA... A Ferreras le doy 3 points aquí. Cuando se lo merece, se lo merece. Julio Anguita, precisamente uno de los políticos más honrados de los últimos tiempos, de izquierdas, con pistola, igual que... ¡@Santi_ABASCAL ! Pobre @pnique . Duele. RT @lbalcarce: La cara que se le queda a 'Echeminga' cuando Ferreras le recuerda que Anguita también llevaba pistola no tiene precio.</t>
  </si>
  <si>
    <t>Dios, patria y rey. Si te gusta debatir e intercambiar ideas, hagámoslo. Si solo te gusta quedar por encima, ni te molestes. No soy de perder.</t>
  </si>
  <si>
    <t>http://www.cuandolotengalopongo.com</t>
  </si>
  <si>
    <t>Maribel Fernández</t>
  </si>
  <si>
    <t>Esperanza Oña, hasta que no te propongan a ti para presidenta de la Junta de Andalucía , El PP no va a ganar las elecciones. Necesitamos gente sin complejos , que hablen claro y alto, como Santi Abascal. No queremos candidatos modositos, con este no llegamos a ningún sitio</t>
  </si>
  <si>
    <t>Ricardo Pérez</t>
  </si>
  <si>
    <t>Pues tras ver detenidamente esta entrevista a @Santi_ABASCAL confirmo que estoy muy lejos de la mayoría de sus posicionamientos, pero no veo el problema en que se le permita defenderlos bajo la legalidad en el Parlamento.  vía @telecincoes</t>
  </si>
  <si>
    <t>Planeta Aceituna</t>
  </si>
  <si>
    <t>"Probablemente,los humanos somos la forma que tiene el Universo de preguntarse por su propia existencia"</t>
  </si>
  <si>
    <t>Mientras @Santi_ABASCAL sigue vetando y vejando a medios de comunicación que no le son afines, muchos esperamos con ansia su biografía cortesía de @LosGenoveses</t>
  </si>
  <si>
    <t>https://www.elplural.com/politica/santiago-abascal-carga-contra-elplural-com_207637102</t>
  </si>
  <si>
    <t>Dr. Moreau</t>
  </si>
  <si>
    <t>En la cena de anoche me confirmaron que la cúpula del PP vasco tiene a Santi Abascal por chiflado. Como dato.</t>
  </si>
  <si>
    <t>Vivisecciones y chuminadas.</t>
  </si>
  <si>
    <t>Juanjo Romero</t>
  </si>
  <si>
    <t>La primera mentira de @Santi_ABASCAL: “la violencia de género es culpa de los extranjeros”. Una de las tantas que nos quedan por escuchar. | Ideal</t>
  </si>
  <si>
    <t>https://www.ideal.es/nacional/primera-mentira-abascal-20181205152953-ntrc.html</t>
  </si>
  <si>
    <t>Periodista. Responsable de programación de #Alpujarra Radio y de Prensa del @Ayto_Orgiva</t>
  </si>
  <si>
    <t>Nacho Márquez B.</t>
  </si>
  <si>
    <t>¿Esto es lo que os gusta a vosotros verdad? ¿Te pone verlo verdad? Dais ascooo @Santi_ABASCAL RT @mugiwarasens: MÁXIMA DIFUSIÓN ,esto ha pasado en Archena (Murcia), si este es el racismo que queremos tener con VOX de por medio yo no sé qué pensar ya de este tipo de gente</t>
  </si>
  <si>
    <t>Alcalá De Guadaira (Sevilla)</t>
  </si>
  <si>
    <t>Republicano, ateo, animalista y de Alcalá de guadaira (Sevilla) @ComparsadeRZ</t>
  </si>
  <si>
    <t>Mientras se habla de Santi Abascal y Vox, nos olvidamos de toda la corrupción política y Monárquica que sigue existiendo.</t>
  </si>
  <si>
    <t>#VivaElRey #VivaElOrdenYLaLey #FrancoSeQueda decían @pablocasado_ y @Albert_Rivera abrieron la puerta al discurso de #FusilemosALosRojos #ExpulsionInmigrantes stop #feminismo de @Santi_ABASCAL y @vox_es. Contra el fascismo más @elpce #JaqueAlRégimenDel78 #RepúblicaYa</t>
  </si>
  <si>
    <t>Miguel Angel Martín</t>
  </si>
  <si>
    <t>Las asquerosas mentiras de @Santi_ABASCAL para criminalizar a los inmigrantes #vomitiVOX</t>
  </si>
  <si>
    <t>https://newtral.es/fact-check/santiago-abascal-las-mujeres-asesinadas-en-espana-han-sido-mayoritariamente-a-manos-de-extranjeros/</t>
  </si>
  <si>
    <t>Inquieto y activo ciudadano de ideas socialdemócratas,que procura un mundo mas justo,humano y equitativo.Militante del PSOE y afiliado a CCOO</t>
  </si>
  <si>
    <t>Despilfarro a tutiplen, @Santi_ABASCAL ya ha propuesto la solución acertada a esta tropelia @SanchezJaimez @Juanje03 @teval37 @JOSEMANUELSOTO1 @Muriel_Rot RT @libre_mercado: Así son las cuentas de Canal Sur: 162,7 millones de presupuesto y 1.462 trabajadores</t>
  </si>
  <si>
    <t>https://twitter.com/libre_mercado/status/1070565528983334912
http://dlvr.it/QsxqNw</t>
  </si>
  <si>
    <t>Miguel Ángel Chiquil</t>
  </si>
  <si>
    <t>Los mossos limpiando de basura lazi el espacio donde @vox_es y @Ortega_Smith van a manifestarse en defensa de la Ley y contra la barbarie separatista @okdiario @Santi_ABASCAL @libertaddigital @voxnoticias_es RT @jmangues: Càrregues ara mateix de l’Arro i Brimo contra i els manifestants independentistes a la plaça de Girona on Vox i farà un acte a les 11h. #NoPassaran</t>
  </si>
  <si>
    <t>https://twitter.com/jmangues/status/1070601945583415296</t>
  </si>
  <si>
    <t>pic.twitter.com/JTO2zCp6fm</t>
  </si>
  <si>
    <t>BARCELONA, CATALUÑA, ESPAÑA</t>
  </si>
  <si>
    <t>En lucha contra el Relativismo moral y político que todo lo asfixia en esta nuestra España actual. En defensa de los Valores Trascendentes de la persona.</t>
  </si>
  <si>
    <t>María Igartua</t>
  </si>
  <si>
    <t>Entre cabezas anda el juego... @Albert_Rivera @Pablo_Iglesias_ y ¿@Santi_ABASCAL?</t>
  </si>
  <si>
    <t>https://www.elconfidencial.com/cultura/2018-12-06/cronica-urgente-espana-museo-cera-cabeza-rivera-broma_1678174/</t>
  </si>
  <si>
    <t>Redactora de Economía y Mercados con opiniones propias</t>
  </si>
  <si>
    <t>Conchita Travesedo</t>
  </si>
  <si>
    <t>Es importante saber de dónde viene cada uno y su trayectoria para conocerle. Así vivía @Santi_ABASCAL hace 15 años. ¿Por qué causas se jugaba la vida @Pablo_Iglesias_ en aquella época? RT @ammembrilla: ¿Fascista @Santi_ABASCAL? Mirad este testimonio...</t>
  </si>
  <si>
    <t>https://twitter.com/ammembrilla/status/1070427946429624343</t>
  </si>
  <si>
    <t>pic.twitter.com/jqwvWmvPp3</t>
  </si>
  <si>
    <t>Málaga (España)</t>
  </si>
  <si>
    <t>Profesora de Periodismo en excedencia. Gestora universitaria.</t>
  </si>
  <si>
    <t>Alejandro Hernández</t>
  </si>
  <si>
    <t>Para no querer que entre la Sexta a los actos de @vox_es. @Santi_ABASCAL se entretenía hace no mucho haciendo entrevistas con teleñecos de @jordievole 👀</t>
  </si>
  <si>
    <t>https://pbs.twimg.com/media/DtuNIriXQAANqhe.jpg</t>
  </si>
  <si>
    <t>Sabadell, España</t>
  </si>
  <si>
    <t>Primer Secretari de les @JSCVocc Politólogo vía UAB. Cursando máster en fiscalidad por la UOC. POLÍTICA &amp; ACTUALIDAD. Cui prodest? Instagram: @a_hergo</t>
  </si>
  <si>
    <t>http://pisayhabla.blogspot.com</t>
  </si>
  <si>
    <t>juan V. del Moral 🎗</t>
  </si>
  <si>
    <t>Feliz día de la #ConstitucionEspanola a los constitucionalistas de pacotilla como @Santi_ABASCAL que se la saltan por el art. 2, y a @pablocasado_ y @Albert_Rivera por el art. 113. #40AñosDeConstitución, pero sólo a medias?</t>
  </si>
  <si>
    <t>Graduando ~ Ciencias Políticas UGR - IG: @juanvidelmoral</t>
  </si>
  <si>
    <t>Más comentados ahora en Derecha/Centro Dcha.: ➀ @sanchezcastejon ↓ ➁ @PPopular ↑↑ ➂ @Albert_Rivera ↑ ➃ @ahorapodemos ↑ ➄ @InesArrimadas ↑ ➅ @ANDRES_CANO42 ↓ ➆ @vox_es ↑ ➇ @josepramonbosch ↑ ➈ @Santi_ABASCAL ↑</t>
  </si>
  <si>
    <t>SantiMartinez</t>
  </si>
  <si>
    <t>Carta de extorsión por parte de los amigos de @ArnaldoOtegi que recibió, como tantos otros empresarios del Euskadi, el padre de @Santi_ABASCAL! Solo sois basura!!!</t>
  </si>
  <si>
    <t>https://pbs.twimg.com/media/DtuM4wpXQAApoqq.jpg</t>
  </si>
  <si>
    <t>#TesVisible</t>
  </si>
  <si>
    <t>Dm2</t>
  </si>
  <si>
    <t>mi mujer, es un ser humano increíble, yo sería incapaz de hacerla daño, no digo que no me giré cuando pasa un pivon, espero que ella haga lo mismo cuando pasa un buenorro, por que así sabré que se siente libre y es feliz @Santi_ABASCAL que sientes al ser votado por maltratadores?</t>
  </si>
  <si>
    <t>Sergio Vázquez</t>
  </si>
  <si>
    <t>Muy bueno #LateMotiv hablando sobre el FASCISMO de @Santi_ABASCAL y @vox_es RT @LateMotivCero: ¿Y si lo de VOX fuera solo una moda? #LateMotiv</t>
  </si>
  <si>
    <t>https://twitter.com/LateMotivCero/status/1070445209811468288</t>
  </si>
  <si>
    <t>https://pbs.twimg.com/media/DtrDyOGW0AA_atU.jpg</t>
  </si>
  <si>
    <t>Oncólogo médico. Hospital Universitario Lucus Augusti. Lugo. Apasionado de la transdisciplinariedad. Y colchonero de pro. Ateo radical. Es lo que hay.</t>
  </si>
  <si>
    <t>David López Vizcaíno</t>
  </si>
  <si>
    <t>A la atención de @vox_es y @Santi_ABASCAL Toca reconquistar Galicia, la tierra del apóstol Santiago, patrón de España. Alberto «Nacionalista» Feijóo ha hecho demasiado daño.</t>
  </si>
  <si>
    <t>Madrid (1970). Doctor en Geografía e Historia (1997). Profesor de Enseñanza Secundaria, escritor (Violeta, Cuatro mujeres y Ojos verdes) y bloguero.</t>
  </si>
  <si>
    <t>http://www.firmamentocultural.blogspot.com.es/</t>
  </si>
  <si>
    <t>Normales, normales... a ver @BertinOsborne un tipo como @Santi_ABASCAL que no respeta el AMOR entre personas del mismo sexo, muy normal no es... EL AMOR ES LIBERTAD Y NO OPRIMIRLO.</t>
  </si>
  <si>
    <t>A Man of Today</t>
  </si>
  <si>
    <t>Señores @Santi_ABASCAL y @Ortega_Smith cuando les hablen de las denuncias falsas del 0.0.... sepan que la falacia de esa cifra esta en: - Del total de denuncias. - Las que han sido desestimadas por manifiesta falsesdad. y - El hombre ha denunciado y - Ha demostrado la falsedad</t>
  </si>
  <si>
    <t>Demonio para el establishment por respetar los símbolos españoles sin comulgar con la multiculturalidad, feminismo, género y pilares del pensamiento único.</t>
  </si>
  <si>
    <t>orgullo patria</t>
  </si>
  <si>
    <t>Váis a ir al infierno malditos etarras y yo me alegrare mucho, merecéis torturas y tratos crueles , inhumanos o degradantes hijosdeputa, Abascal es un líder y un tío con cojones viva Santi ARRIBA ESPAÑA, VIVA LA CONSTITUCIÓN Y VIVA REY</t>
  </si>
  <si>
    <t>arrejack</t>
  </si>
  <si>
    <t>Presidente @Santi_ABASCAL estoy orgulloso de ti por darme voz por decir y definir a la perfección lo que yooo desde mi casa, desde mi trabajo pienso y creo, sin duda alguna estamos defendiendo la LIBERTAD!!</t>
  </si>
  <si>
    <t>españoles sea cual sea vuestro pensamiento es hora de juntarnos para luchar por nuestros pais</t>
  </si>
  <si>
    <t>que duro es ser HONESTO: CONSECUENTE CON LO QUE SE PIENSA Y ACTUAR ACORDE. Verdad @CiudadanosCs , @Pablo_Iglesias_ ,@sanchezcastejon Y se preguntan por el ascenso de VOX, @Santi_ABASCAL ? Hay que ser tontos de remate. RT @hidergina: A C´S no les llega el sueldo a fin de mes: "Primum vivere....." Ciudadanos entra en la separatista TV3 tras pedir en mayo su intervención con el 155</t>
  </si>
  <si>
    <t>https://twitter.com/hidergina/status/1070597556583976961
https://okdiario.com/espana/cataluna/2018/12/05/fuentes-ciudadanos-explican-que-quieren-profesionales-del-sector-que-no-esten-controlados-independentismo-3433564#.XAjfFtfyY7w.twitter</t>
  </si>
  <si>
    <t>Pablo Javier Tauroni Alonso</t>
  </si>
  <si>
    <t>Este es el "fascista" @Santi_ABASCAL @vox_es @VOX_Valencia @vox_granada #España @ActuaBaleares @LaVOXMadrid #AdelanteSanti Todo el empeño y trabajo duro por y para España.</t>
  </si>
  <si>
    <t>pic.twitter.com/Ivp7auP4OZ</t>
  </si>
  <si>
    <t>Ldo en Geografía, G. en Edificación. Miro por los principios y hastiado de los que los cambian por interés. Me gusta la actualidad, el periodismo y la política.</t>
  </si>
  <si>
    <t>Pedro Insua</t>
  </si>
  <si>
    <t>Es una pena, @Santi_ABASCAL , que no utilices a Lenin, su centralismo y su antifederalismo, contra Pablo Iglesias. Reforzaría tú discurso, acertado, en defensa de la soberanía nacional española, amenazada por el separatismo. Una lástima, insisto.</t>
  </si>
  <si>
    <t>https://www.abc.es/espana/abci-santiago-abascal-define-como-antipodemita-y-anticomunista-201812051148_video.html</t>
  </si>
  <si>
    <t>Y el naufragar me es dulce en este océano (Leopardi)</t>
  </si>
  <si>
    <t>Español Anónimo</t>
  </si>
  <si>
    <t>NOTICIAS | Ciudadanos descarta finalmente el pacto con PP y PSOE por lo que su única opción es VOX. El partido de @Santi_ABASCAL ha presentado una serie de normas para el pacto con PP y Ciudadanos.</t>
  </si>
  <si>
    <t>España, ¿que más puedo pedir?</t>
  </si>
  <si>
    <t>No defiendo una ideología, tan solo defiendo a España con orgullo. Graduado en Historia. 🇪🇸</t>
  </si>
  <si>
    <t>#DiaDeLaConstitucion La gran diferencia entre @Santi_ABASCAL y Pablo Iglesias es que: Mientras Abascal ha estado toda su vida amenazado y acosado por ETA por defender la Libertad y España... El Marqués de Galapagar iba a Herriko Tabernas a aplaudir la inteligencia política de ETA</t>
  </si>
  <si>
    <t>pic.twitter.com/ra6xX9FP3b</t>
  </si>
  <si>
    <t>Josema 🇪🇸</t>
  </si>
  <si>
    <t>#ConstitucionEspanola Vergonzoso la descripcion del video de la cadena Ser contra @vox_es Sr @Ortega_Smith @Santi_ABASCAL pongan una demanda a esta cadena basurienta q les insulta</t>
  </si>
  <si>
    <t>Úbeda, España</t>
  </si>
  <si>
    <t>Apoyo a Vox,Ciudadanos,PP,UPD,...o sea q soy un facha de extrema. La censura de twiter no me deja decir lo q pienso de la basura comunista🇪🇸</t>
  </si>
  <si>
    <t>Tato kYd</t>
  </si>
  <si>
    <t>Feliz #DiaDeLaConstitucion mas obsoleta que te puedas echar a la cara. Para @Albert_Rivera, para @Santi_ABASCAL, para @pablocasado_, para @sanchezcastejon, para ti, para toda la familia. 🖕🏻</t>
  </si>
  <si>
    <t>Residente del mundo - Amante, amigo y compañero de la mujer de mi vida - Vividor de experiencias - Autodidacta</t>
  </si>
  <si>
    <t>Conoces esto @Santi_ABASCAL ? por aquí se va para tu tierra aquí no te queremos</t>
  </si>
  <si>
    <t>https://pbs.twimg.com/media/DtuHE4kWsAAWNSE.jpg</t>
  </si>
  <si>
    <t>Jose Luis</t>
  </si>
  <si>
    <t>Hora llega el listo de @Santi_ABASCAL diciendo que quiere quitar @canalsur ... a ver que hace mi made sin su #juanymedio</t>
  </si>
  <si>
    <t>https://pbs.twimg.com/media/DtuHC1fWsAUxZGb.jpg</t>
  </si>
  <si>
    <t>Toronto, Ontario</t>
  </si>
  <si>
    <t>Tech enthusiast, Explorer. Un malagueño en #toronto https://github.com/jlruizmlg Nintendo Switch: SW-2326-2383-9226</t>
  </si>
  <si>
    <t>https://github.com/jlruizmlg</t>
  </si>
  <si>
    <t>Emilio Sanz Pastor</t>
  </si>
  <si>
    <t>Efectivamente: @Santi_ABASCAL es un TORRENTE de sensatez, de firmeza y de ilusión. Mientras,tu,@pnique eres un LODAZAL de odio y basura estancada del peor chavismo y leninismo. Miedo no das, pobre cabeza rodante, lo que das es mucha grima entremezclada con asco. RT @pnique: Abascal es como Torrente. Da risa... hasta que te imaginas a Torrente en un parlamento o en un gobierno... y entonces da miedo.</t>
  </si>
  <si>
    <t>Arquitecto, Stock Trader, MBA y Gestor Cinegético. Si tu no vives por tus sueños, alguien te convencerá para que vivas por los suyos.</t>
  </si>
  <si>
    <t>Buenas tardes VOX desde Huelva un cordial saludo de un afiliado a VOX. Entrevista a @santi_Abascal "Sábchez no dura ni un minuto en la Moncloa si adelanta si adellanta las elecciones " RT @vox_es: 📰 Entrevista a @Santi_ABASCAL "Sánchez no dura ni un minuto en La Moncloa si adelanta las elecciones"  vía @ABCespana @abc_es</t>
  </si>
  <si>
    <t>https://twitter.com/vox_es/status/1070417878074175499
https://www.abc.es/espana/abci-santiago-abascal-sanchez-no-dura-minuto-moncloa-si-adelanta-elecciones-201812042205_noticia.html#ns_campaign=amp-rrss-inducido&amp;ns_mchannel=abc-es&amp;ns_source=tw&amp;ns_linkname=noticia.video&amp;ns_fee=0</t>
  </si>
  <si>
    <t>Manuel A.</t>
  </si>
  <si>
    <t>Por cosas como esta la gente vota a @vox_es porque el partido liderado por @Santi_ABASCAL es el único que protege la libertad. Joven apaleado por radicales en Vitoria: "Ser vasco y español cuesta que te den una paliza"  vía @elmundoes</t>
  </si>
  <si>
    <t>https://www.elmundo.es/pais-vasco/2018/12/06/5c083b62fc6c834c318b4782.html</t>
  </si>
  <si>
    <t>Chemical engineer</t>
  </si>
  <si>
    <t>Sin comentarios. @Santi_ABASCAL @vox_es @vox_granada #España</t>
  </si>
  <si>
    <t>https://pbs.twimg.com/media/DtuC83iXcAI7eYH.jpg</t>
  </si>
  <si>
    <t>J.</t>
  </si>
  <si>
    <t>Muy ilusionado, feliz, y honrado,terminé aquella tarde en el @hotelinglaterra tras escuchar a @Javicortes_VOX y @Santi_ABASCAL ejemplos de vidas al servicio de unos ideales,queda mucho por hacer!</t>
  </si>
  <si>
    <t>http://tinyurl.com/ybm8bhuo</t>
  </si>
  <si>
    <t>Quisiera disponer de palabras etéreas de sabiduria,para imbuirles a mis hijos toda la firmeza de abnegación que la vida exige.</t>
  </si>
  <si>
    <t>Charran Español</t>
  </si>
  <si>
    <t>El sorprendente vídeo de Santi_ABASCAL que quizá dé pudor ver a ahorapodemos</t>
  </si>
  <si>
    <t>https://www.esdiario.com/453023193/El-video-de-un-jovencisimo-Santiago-Abascal-que-deberia-dar-verguenza-a-Podemos.html</t>
  </si>
  <si>
    <t>Me encanta sobrevolar una España que no sea llevada a la ruina por parte de los partidos de izquierdas.</t>
  </si>
  <si>
    <t>Buenos días VOX desde Huelva un cordial saludo se un afiliado a VOX . Rueda de prensa de @santi_Abascal "Queremos reformar el Estatuto andaluz para que está comunidad sea pionera en devover competencias": "No tenemos voluntad en devolver de entrar en el. RT @vox_es: 🚨 Rueda de prensa de @Santi_ABASCAL ⤵ 🗨 "Queremos reformar el Estatuto andaluz para que esta comunidad sea pionera en devolver competencias". 🗨 "No tenemos voluntad de entrar en el Gobierno, no queremos consejerías, ni sillones, ni presidir el Parlamento".</t>
  </si>
  <si>
    <t>ESdiario</t>
  </si>
  <si>
    <t>El sorprendente vídeo de @Santi_ABASCAL que quizá dé pudor ver a @ahorapodemos</t>
  </si>
  <si>
    <t>Tras 16 años con la realidad política, social y empresarial de España, El Semanal Digital se convierte en ESdiario. Su portal de opinión sigue en @ElSemanalD.</t>
  </si>
  <si>
    <t>http://www.esdiario.com</t>
  </si>
  <si>
    <t>ÆPasión por EspañaÆ</t>
  </si>
  <si>
    <t>#Moncloa #Corrupcion #Cerdocracia #Ineptocracia #España #españaesuna Moncloa_com: euskaltelebista golpea a vox_es con El Yunque, Irán y las “tarjetas green” de Santi_ABASCAL</t>
  </si>
  <si>
    <t>https://bit.ly/2Uejh1W</t>
  </si>
  <si>
    <t>https://pbs.twimg.com/media/DtkqLocWkAABjXQ.jpg</t>
  </si>
  <si>
    <t>Nacional-Sensacionalistas de extrema necesidad #EspañaEsUna #stopUE #stopOTAN #stopSionismo #stopGlobalizacion #stopInmigracion #stopIslam #stopFemimarxismo</t>
  </si>
  <si>
    <t>http://xn--pasionxespaa-khb.es</t>
  </si>
  <si>
    <t>Más influyentes ahora en Derecha/Centro Dcha.: ➀ @Albert_Rivera ↑ ➁ @ANDRES_CANO42 ↑ ➂ @CristinaSegui_ ↑↑ ➃ @ldpsincomplejos ↓ ➄ @victoriah991 ↑ ➅ @juanchoex ↑ ➆ @josepramonbosch ↑ ➇ @Santi_ABASCAL ↓ ➈ @javiernegre10 ↑</t>
  </si>
  <si>
    <t>#EspañaEsUna #SuperVox #Vox #VozAvanza #EspañaLoPrimero #LaEspañaQueMadruga #LaEspañaQueTrabaja voxnoticias_es: 🔴🎙️ Rueda de prensa del CEN de VOX | Santi_ABASCAL sobre los pactos "Estamos a la expectativa para ver si Ciudadanos está a la altura de l…</t>
  </si>
  <si>
    <t>https://pbs.twimg.com/media/DtrTZDMWwAI4mUo.jpg</t>
  </si>
  <si>
    <t>A mí me parece bien que se devuelvan las competencias de Educación de Andalucía al Gobierno central. Pero, ojo, @Santi_ABASCAL y amigos de @vox_es: devolverlas AHORA es devolvérselas a Pedro Sánchez e ISABEL CELAÁ. Y entonces hemos hecho un pan con unas tortas.</t>
  </si>
  <si>
    <t>Mαηu ⭐️⭐️</t>
  </si>
  <si>
    <t>La multiplicación de las agresiones contra “VOX” deja bien claro quienes SI es un peligro para la democracia y Libertad en España 🇪🇸 Y es una permanente propaganda política y electoral a favor de VOX que va a hacer llorar a muchos muy pronto. @Santi_ABASCAL @Huelva_Vox @vox_es</t>
  </si>
  <si>
    <t>Del mundo ❤</t>
  </si>
  <si>
    <t>No preguntes por saber....</t>
  </si>
  <si>
    <t>ESTE TIO NO ES NI CARNE NO PESCADO Y SOLO SABE QUE DAR POR SACO...CIUDADANOS DEBE DESAPARECER POR SU INEFICACIA...TODOS A VOTAR A @Santi_ABASCAL RT @Sanfermin00: Rivera ve irresponsable descartar escenarios de pacto, incluido VOX @lavanguardia</t>
  </si>
  <si>
    <t>https://twitter.com/Sanfermin00/status/1070584539708358656
http://shr.gs/4Yk1ljg</t>
  </si>
  <si>
    <t>Ramón</t>
  </si>
  <si>
    <t>Este es @Santi_ABASCAL Un tío con dos cojones y que se ha jugado la vida por defender España y la libertad. A muerte contigo! 🇪🇸 RT @Odin237: Aquí tenemos a Santiago Abascal y su padre en Llodio, el alcalde etarra condenado por colab on ETA a 8 años de prisión, solos y rodeados de abertzales. 🤔🇪🇸</t>
  </si>
  <si>
    <t>Los sueños no tienen límite, sigamos soñando..Hala Madrid</t>
  </si>
  <si>
    <t>ES QUE ESTÁN COPIANDO EL DISCURSO DE @Santi_ABASCAL PARA QUE LOS APOYE...EL PP ESTÁ ACABADO...VIVA @vox_es RT @aguerraalonso3: García Egea, diciendo que prefiere no tener Canal Sur, que endoscopios en los hospitales. Su cinismo y demagogia son de libro. Ahora les preocupan los servicios sociales, después de haberlos privatizado, para regalar a sus amigos. NO TIENEN VERGÜENZA 😡😡😡</t>
  </si>
  <si>
    <t>https://twitter.com/aguerraalonso3/status/1070570924913688578</t>
  </si>
  <si>
    <t>https://pbs.twimg.com/media/Dttuk3wWwAExt8p.jpg</t>
  </si>
  <si>
    <t>Curro Troya 💪🏻</t>
  </si>
  <si>
    <t>No, hombre, no: Telemadrid no se cierra porque de la @ComunidadMadrid trincaba @Santi_Abascal. Esa no 'hace falta' cerrarla. RT @fnmoraleda: Buenos días. Entiendo que tras el cierre de Canal Sur va el de Telemadrid no? O ese es güeno?</t>
  </si>
  <si>
    <t>https://twitter.com/fnmoraleda/status/1070566510920433665</t>
  </si>
  <si>
    <t>I'm sorry, I'm just a journalist. My job is not being your pleaser.</t>
  </si>
  <si>
    <t>http://unpobrecitohablador.tumblr.com/</t>
  </si>
  <si>
    <t>Leo en esta información que el "objetivo" de @Santi_Abascal es "salvar España": huyan de 'salvapatrias' que necesitan que les subvencionen la vida con una 'paguita' por ser amigo de la presidenta de una comunidad autonómica de turno</t>
  </si>
  <si>
    <t>https://www.elconfidencial.com/elecciones-andalucia/2018-12-05/santiago-abascal-vox-extrema-necesidad_1687170/</t>
  </si>
  <si>
    <t>Y TODA ESPAÑA EN MASA A VOTAR A @Santi_ABASCAL RT @prensafresca: Sánchez se prepara para romper con los separatistas y contempla elecciones en marzo - EL ESPAÑOL</t>
  </si>
  <si>
    <t>https://twitter.com/prensafresca/status/1070581390121553920
https://T.co/Djy79QHf4k</t>
  </si>
  <si>
    <t>Albertico</t>
  </si>
  <si>
    <t>Buenos días @Santi_ABASCAL Según la prensa A que hora es él desfile de las ss por triana Un saludo.</t>
  </si>
  <si>
    <t>Albacete</t>
  </si>
  <si>
    <t>Un tio singular y Alcalde de Albacete Amante de la música y del Humor Juego al LoL https://www.instagram.com/albertico_alfaro/?hl=es</t>
  </si>
  <si>
    <t>https://www.twitch.tv/x_xviking</t>
  </si>
  <si>
    <t>ASÍ ES ROSA POR ESO TODA ESPAÑA VOTAREMOS AL GRAN @Santi_ABASCAL RT @rosadiezglez: Rechazo radicalmente que hayan intentado boicotear un acto de Borrell en homenaje a la Constitución. Y le recuerdo que es su compañera de Gabinete, la Ministra de Justicia, quien califica de ‘anticonstitucionales’ a VOX y de constitucionales a quienes le insultan y boicotean.</t>
  </si>
  <si>
    <t>https://twitter.com/rosadiezglez/status/1070399928818679808</t>
  </si>
  <si>
    <t>Rikysfc</t>
  </si>
  <si>
    <t>Muy muy fan de @Santi_ABASCAL, un tipo muy coherente, ya está bien de que al ciudadano de a pie nos tomen por tonto, bien por @VOXSevilla @vox_es RT @vox_es: 🚨 Rueda de prensa de @Santi_ABASCAL ⤵ 🗨 "Queremos reformar el Estatuto andaluz para que esta comunidad sea pionera en devolver competencias". 🗨 "No tenemos voluntad de entrar en el Gobierno, no queremos consejerías, ni sillones, ni presidir el Parlamento".</t>
  </si>
  <si>
    <t>Toño P. Merayo</t>
  </si>
  <si>
    <t>Tiene nombre. Se llama Santi Abascal y de momento tiene a 400.000 que le votan.....puede que de esos haya alguno parecido a los que tú votas e incendian la calle. Pero tranquilo...te vas a terrorista más cuando sepas que le vamos a votar millones en las próximas elecciones. Abur. RT @JRhodesPianist: No voy siquiera a escribir su nombre, pero qué peligro. Y qué asco. Y qué horror.</t>
  </si>
  <si>
    <t>https://twitter.com/JRhodesPianist/status/1070380217569607681</t>
  </si>
  <si>
    <t>pic.twitter.com/adQygiF3FZ</t>
  </si>
  <si>
    <t xml:space="preserve">En todo </t>
  </si>
  <si>
    <t>Hasta los huevos de Fascistas que se lo llaman a otros, cuando ellos son los verdaderos. De izquierdas o derechas. Da igual.. son Fascistas.</t>
  </si>
  <si>
    <t>TODA ESPAÑA EN MASA A VOTAR AL GRAN @Santi_ABASCAL Y A PABLO IGLESIAS HAY QUE ENCARCELARLE POR ORGANIZAR ACTOS VANDÁLICOS E INCENDIARIOS RT @hermanntertsch: La multiplicación de las agresiones contra VOX están dejando bien claro quienes sí son un peligro para la democracia y libertad. Y es una permanente propaganda política y electoral en favor de VOX que va a hacer llorar a muchos muy pronto.</t>
  </si>
  <si>
    <t>https://twitter.com/hermanntertsch/status/1070411405864681472</t>
  </si>
  <si>
    <t>TODA ESPAÑA A VOTAR @Santi_ABASCAL RT @Miotroyo2parte: Esta mañana la presentadora @susannagriso ha intentado difundir varias mentiras sobre @vox_es como si fueran ciertas. Menos mal que había alguien en plató para pararle los pies.</t>
  </si>
  <si>
    <t>https://twitter.com/Miotroyo2parte/status/1069654896159457280</t>
  </si>
  <si>
    <t>pic.twitter.com/iJeFYQSwgV</t>
  </si>
  <si>
    <t>EN GALICIA...TODOS EN MASA A VOTAR @Santi_ABASCAL RT @doctorYekyll: Feijoo dice que Vox no tiene cabida en Galicia. Como gallego hago un llamado a los militantes gallegos de Vox para iniciar una batalla dialéctica y una fuerte movilización para dar un vuelco electoral similar al habido en Andalucia. Ruego retuits para alcanzar máxima difusión.</t>
  </si>
  <si>
    <t>Sergio Márquez Márquez</t>
  </si>
  <si>
    <t>Ana Rosa tontana, ayer no paraba de cortar a @Santi_ABASCAL en la entrevista. Mejor que entreviste a comunistas y separatas que lo lleva haciendo años. Otra vez se demuestra la educación de cada uno. Muy educado Abascal y muy mal educada @anarosaq .</t>
  </si>
  <si>
    <t>militante de Vox. youtube Sergio Márquez (Rincón Español)http://youtube.com/channel/UCm0yl…. CON ESPAÑA Y POR ESPAÑA📢</t>
  </si>
  <si>
    <t>ANTES DE LAS ELECCIONES ANDALUZAS TODO EL PP IBA CONTRA VOX EMPEZANDO POR MAROTO EL DE LA MOTO...Y AHORA COMO LO NECESITAN PARA GOBERNAR, TODO SON HALAGOS..EL PP CÍNICO Y FALSO...TODA ESPAÑA A VOTAR @Santi_ABASCAL</t>
  </si>
  <si>
    <t>Bernithedude</t>
  </si>
  <si>
    <t>Hola @Santi_ABASCAL. ¿Sabes hacer twerking?</t>
  </si>
  <si>
    <t>Máster en Derecho Autonómico.</t>
  </si>
  <si>
    <t>Los 20 tuits más RTs de @rosadiezglez @albert_rivera @tonicanto1 @santi_abascal @jorditurull @krls @gabrielrufian @albanodante76 @quimforn @jordialapreso @beatrizbecerrab @forcadellcarme @ierrejon @maitepagaza @irene_montero_ el miércoles 5 de diciembre</t>
  </si>
  <si>
    <t>https://twitter.com/trendinaliaES/timelines/1070560578584797184</t>
  </si>
  <si>
    <t>La izquierda española, con la complicidad de la derecha acomplejada, lleva demasiado tiempo lavando cerebros y no se esperaba que alguien sin complejos y con cerebro como @Santi_ABASCAL les pudiera hacer sombra, ni que la gente pudiera votar a @vox_es Pero España despertó.</t>
  </si>
  <si>
    <t>https://pbs.twimg.com/media/DttyKixU4AASB9I.jpg</t>
  </si>
  <si>
    <t>HAY QUE ILEGALIZAR PODEMOS Y VOTAR TODA ESPAÑA A @Santi_ABASCAL RT @AlfonsoRojoPD: La ministra Delgado, la del Marlaska maricón, dice que proetarras y golpistas son constitucionales, pero VOX no</t>
  </si>
  <si>
    <t>https://twitter.com/AlfonsoRojoPD/status/1069942375714299905
https://www.periodistadigital.com/politica/parlamento/2018/12/04/la-ministra-delgado-la-del-marlaska-maricon-que-proetarras-y-golpistas-son-constitucionales-pero-vox-no.shtml</t>
  </si>
  <si>
    <t>VOX es un movimiento nacional que ya nadie lo puede detener. Es mucho más que un partido. El mecanismo de defensa de millones de españoles demócratas cansados de tantas ofensas. @FJL_EsRadio @monasterioR @Santi_ABASCAL @Ortega_Smith VIVA VOX VIVA ESPAÑA. RT @Pedro79Diez: Cuando VOX saque 5/6 millones de votos en las generales dirán que en España hay 6 millones de fascistas. Que fácil se dice esa palabra verdad y que rápido se teclea. Sinceramente creo que VOX sacará un gran resultado por la bajeza de los políticos que tenemos ahora. #AbascalAR</t>
  </si>
  <si>
    <t>https://twitter.com/Pedro79Diez/status/1070249192197623808</t>
  </si>
  <si>
    <t>Víctor Llano</t>
  </si>
  <si>
    <t>https://www.moncloa.com/etb-vox-yunque-iran-abascal/#.XAjIhcwZqII.twitter</t>
  </si>
  <si>
    <t>Periodista. Mira si soy colchonero que paso por Concha Espina como pasa un forastero.</t>
  </si>
  <si>
    <t>Rompiendo moldes. @Santi_ABASCAL es mi presidente #AbascalPresidente RT @electo_mania: ‼️‼️ #ElectoPanel diciembre: Vox irrumpe con fuerza en el Congreso rozando los 30 escaños. Ciudadanos se coloca primero tras la caída de PP, PSOE y UP. La suma PP+PSOE 🌹💧se queda en el 38% y tiñe de naranja el mapa del partido ganador por provincias.</t>
  </si>
  <si>
    <t>https://twitter.com/electo_mania/status/1070233921739214848
http://electomania.es</t>
  </si>
  <si>
    <t>https://pbs.twimg.com/media/Dto8Ew6WkAAJiIO.jpg</t>
  </si>
  <si>
    <t>El Americano</t>
  </si>
  <si>
    <t>Pues yo esperaba que en las entrevistas de ayer, además de lo dicho, @Ortega_Smith y @Santi_ABASCAL nos explicaran su plan para mandar al GAR a hacer una extracción de Puigdemont. Supongo que lo guardan en secreto. Me habrían alegrado el día un poco más.</t>
  </si>
  <si>
    <t>pic.twitter.com/SvJriuaiZx</t>
  </si>
  <si>
    <t>In your head</t>
  </si>
  <si>
    <t>Fuck you asshole</t>
  </si>
  <si>
    <t>Yago Linde</t>
  </si>
  <si>
    <t>Se hace un llamamiento a las personas de bien. A las personas democráticas y que buscan la libertad, hacer una alianza anti comunista y terrorista. ¿Te apuntas? Únete y comparte este tuit. @vox_es @CiudadanosCs @PPopular @pablocasado_ @Albert_Rivera @Santi_ABASCAL</t>
  </si>
  <si>
    <t>✴️ Hombre libre y de buenas costumbres. ✴️ Hombre razonable que lucha por la igualdad, la libertad y la fraternidad. ✴️ Masculinista ♂️ ✴️ Historiador</t>
  </si>
  <si>
    <t>La carta de ETA al padre de @Santi_ABASCAL . Luego los fascistas somos los de @vox_es</t>
  </si>
  <si>
    <t>https://pbs.twimg.com/media/DttvpDmXcAA9Cob.jpg</t>
  </si>
  <si>
    <t>En España los golpistas y malversadores catalanes siguen aferrados a desconocer la constitución aprobada en referendo por más de 17 millones de españoles. Y luego se quejan por estar presos. Qué desean la ley de la selva? @Albert_Rivera @InesArrimadas @Santi_ABASCAL @FJL_EsRadio</t>
  </si>
  <si>
    <t>Ferreras 'mata' a Echenique con el arma de Anguita tras acusar el podemita a Santi Abascal de ir con pistola</t>
  </si>
  <si>
    <t>https://www.periodistadigital.com/periodismo/tv/2018/12/05/ferreras-echenique-pistola-abascal-anguita-podemita-vox.shtml</t>
  </si>
  <si>
    <t>NUEVO ESCENARIO PARA ESPAÑA Cinco mitos electorales que se han hecho añicos en Andalucía- Libertad Digital | Versión Móvil (mobile)  @Santi_ABASCAL @CasaReal @GeneralDavila @Ortega_Smith @GirautaOficial @rosadiezglez @pablocasado @monasterioR @ivanedlm</t>
  </si>
  <si>
    <t>https://www.libertaddigital.com/espana/politica/2018-12-06/cinco-mitos-electorales-que-se-han-hecho-anicos-en-andalucia-1276629464/</t>
  </si>
  <si>
    <t>Lo han clavado contigo @Santi_ABASCAL 🤣🤣🤣🤣🤣🤣🤣🤣🤣🤣 RT @BrunaSkaff: Lo mejor que he visto en mucho tiempo. Gracias @eljueves</t>
  </si>
  <si>
    <t>https://twitter.com/brunaskaff/status/1070279496413126656</t>
  </si>
  <si>
    <t>https://pbs.twimg.com/media/DtplhYIW0AAgIgO.jpg</t>
  </si>
  <si>
    <t>Eva Efe</t>
  </si>
  <si>
    <t>No dudo en que haga falta un ajuste, una revisión y algún cambio,pero no  empezamos a cargarnos los medios de comunicación mal empezamos @JuanMa_Moreno @Santi_ABASCAL RT @Evafera: Hay que ser mala persona y simplista para querer cerrar Canal Sur, como si esa fuera la  olvidemos que detrás hay cientos de trabajadores que dedican su tiempo y su formación a esa empresa y familias que dependen de ellos @Santi_ABASCAL @JuanMa_Moreno</t>
  </si>
  <si>
    <t>http://liquidarla.Si
https://twitter.com/evafera/status/1070565644150681600
http://xn--solucin-q0a.No
https://twitter.com/europapress_tv/status/1070409761735233536</t>
  </si>
  <si>
    <t>Hay que ser mala persona y simplista para querer cerrar Canal Sur, como si esa fuera la  olvidemos que detrás hay cientos de trabajadores que dedican su tiempo y su formación a esa empresa y familias que dependen de ellos @Santi_ABASCAL @JuanMa_Moreno RT @europapress_tv: Vox exigirá el cierre de Canal Sur para dar su apoyo al candidato a presidir la Junta de Andalucía</t>
  </si>
  <si>
    <t>http://xn--solucin-q0a.No
https://twitter.com/europapress_tv/status/1070409761735233536
https://www.europapress.es/nacional/noticia-abascal-vox-exigira-cierre-canal-sur-dar-apoyo-candidato-presidir-junta-andalucia-20181205185309.html</t>
  </si>
  <si>
    <t>pic.twitter.com/6ofmKFC1TQ</t>
  </si>
  <si>
    <t>Esta noche ⏬ Nuevo video hoy dia 6 de diciembre 2018, sobre derogación de la violencia de género. Una ley que crea víctimas, no solo mujeres, sino niños y hombres (con denuncias falsas) suscribiros⏬ @ana_urcelay @Santi_ABASCAL @Ortega_Smith @cid_lauri</t>
  </si>
  <si>
    <t>https://www.youtube.com/channel/UCm0ylhSdYCfTuZWrmKptHPA</t>
  </si>
  <si>
    <t>Nuevo video hoy dia 6 de diciembre 2018, sobre derogación de la violencia de género. Una ley que crea víctimas, no solo mujeres, sino niños y hombres (con denuncias falsas) suscribiros⏬ @ana_urcelay @Santi_ABASCAL @Ortega_Smith @PabloVM20 @cid_lauri</t>
  </si>
  <si>
    <t>Ana Urcelay Soláns</t>
  </si>
  <si>
    <t>Bavo .@Santi_ABASCAL en el programa de @anarosaq Yo también soy mujer y aplaudo y apoyo la derogación de la Ley de Violencia de género. Tú lo has dicho Ana Rosa "aumentan la víctimas".</t>
  </si>
  <si>
    <t>Zaragoza</t>
  </si>
  <si>
    <t>Militante VOX// Delegada STOPSucesiones Huesca//Miembro AMEPHU Asoc Mujeres Empresarias// De Sept'14 a Dic'16 Presidente VOX Zaragoza</t>
  </si>
  <si>
    <t>http://www.ovb.es</t>
  </si>
  <si>
    <t>Rueda de prensa a @Santi_ABASCAL</t>
  </si>
  <si>
    <t>Video sobre la huelga de hambre de los delincuentes independentistas. @Santi_ABASCAL @Ortega_Smith @CristinaSegui_ @pedro_fhz ver video aqui⏬ VIVA ESPAÑA</t>
  </si>
  <si>
    <t>https://youtu.be/34ocY_QnNJg</t>
  </si>
  <si>
    <t>KMontenegro</t>
  </si>
  <si>
    <t>Oleeeeee para @Santi_ABASCAL Si Andalucía ha estado a la cola de Europa y de España es total responsabilidad de quienes la mal gobernaron por 40 años 👉@PSOE perdió un feudo y los chavistas-bolivarianos no podrán arruinarla más. Bravo!! RT @GenPenaloza: ESPAÑA Santiago Abascal el líder de VOX declaró: "No barajamos ninguna hipótesis que no pase por la expulsión del socialismo y el comunismo chavista de la Junta de Andalucía." "Sánchez no dura ni un minuto en La Moncloa si adelanta las elecciones". Olé mataó!</t>
  </si>
  <si>
    <t>https://twitter.com/GenPenaloza/status/1070296883866857472</t>
  </si>
  <si>
    <t>https://pbs.twimg.com/media/Dtp1TJ_W0AIvOk5.jpg</t>
  </si>
  <si>
    <t>ESP/VZLA</t>
  </si>
  <si>
    <t>Polivalente. Desarrollo humano. Sexologa. Cooperante Internacional. Antifrágil. Melómana/Cinéfila. Esencia humana sin aplanamiento emocional.</t>
  </si>
  <si>
    <t>http://synergycoaching360.com/</t>
  </si>
  <si>
    <t>VOX es la solución a la izquierda radical, @Santi_ABASCAL toda la vida le an amenazado a su familía perroflautas de E.T.A y demas. El es la solución yo estoy 100% con @Santi_ABASCAL</t>
  </si>
  <si>
    <t>Más comentados ahora en Derecha/Centro Dcha.: ➀ @ANDRES_CANO42 ↑ ➁ @sanchezcastejon ↑ ➂ @ahorapodemos ↓ ➃ @Albert_Rivera ↑ ➄ @juanchoex ↓ ➅ @Santi_ABASCAL ↑ ➆ @GirautaOficial ↑↑ ➇ @vox_es ➈ @victoriah991 ↑↑</t>
  </si>
  <si>
    <t>Más influyentes ahora en Derecha/Centro Dcha.: ➀ @ANDRES_CANO42 ↑ ➁ @juanchoex ↓ ➂ @Albert_Rivera ↑ ➃ @Santi_ABASCAL ↑ ➄ @victoriah991 ↑↑ ➅ @ldpsincomplejos ➆ @josepramonbosch ↑ ➇ @javiernegre10 ↑ ➈ @ana_urcelay ↑↑</t>
  </si>
  <si>
    <t>Abraham Pérez</t>
  </si>
  <si>
    <t>FELIZ DÍA DE LA CONSTITUCIÓN!!ESPAÑOLES 🇪🇸🇪🇸🇪🇸!! @gabrielrufian @sanchezcastejon @Albert_Rivera @erc_catcentral @PSOE @pablocasado_ @Pablo_Iglesias_ @ahorapodemos @vox_es @Santi_ABASCAL @QuimTorraiPla @Bcnisnotcat_ @DaniMateoAgain @AdaColau @PPopular</t>
  </si>
  <si>
    <t>pic.twitter.com/t2G2oxtCcR</t>
  </si>
  <si>
    <t>Si luchas puedes perder si no luchas estás perdido</t>
  </si>
  <si>
    <t>Miguel Tamames</t>
  </si>
  <si>
    <t>Año 2003 , hace 15 años. @Santi_ABASCAL Todo sigue igual. Los fascistas de ETA son los mismos que los CDR, CUP , ERC y JXC y PODEMOS en 2018. Dentro video, 👇👇👇👇👇👇👇</t>
  </si>
  <si>
    <t>México y USA</t>
  </si>
  <si>
    <t>padre con hija maravillosa👩</t>
  </si>
  <si>
    <t>No Todo Vale,  Usa el Sentido Común McCoy</t>
  </si>
  <si>
    <t>Viniendo de una tipa @LolaDelgadoG que le da la enhorabuena a un comisario por montar un prostibulo para chantajear a empresarios y políticos pues no sorprende #VoxAvanza #Yovotovox #notodovale @Santi_ABASCAL @vox_es</t>
  </si>
  <si>
    <t>https://pbs.twimg.com/media/DttOZUdXQAAppSC.jpg</t>
  </si>
  <si>
    <t>Luna, España</t>
  </si>
  <si>
    <t>usa el Sentido Común, no dejes que te manipulen</t>
  </si>
  <si>
    <t>Más comentados ahora en Derecha/Centro Dcha.: ➀ @ANDRES_CANO42 ↓ ➁ @josepramonbosch ↓ ➂ @sanchezcastejon ↓ ➃ @Albert_Rivera ↓ ➄ @ahorapodemos ↑ ➅ @juanchoex ↑ ➆ @JosPastr ↑ ➇ @vox_es ↑ ➈ @Santi_ABASCAL ↑</t>
  </si>
  <si>
    <t>Más influyentes ahora en Derecha/Centro Dcha.: ➀ @ANDRES_CANO42 ↓ ➁ @josepramonbosch ↓ ➂ @Albert_Rivera ↓ ➃ @juanchoex ↑ ➄ @JosPastr ↑ ➅ @Santi_ABASCAL ↑ ➆ @CristinaSegui_ ↑↑ ➇ @ldpsincomplejos ➈ @libertaddigital ↓</t>
  </si>
  <si>
    <t>PI</t>
  </si>
  <si>
    <t>Lo siento @Santi_ABASCAL he intentado ver su entrevista con la Quintana, pero no he pasado de los 7 minutos, esa mujer es una gili integral y una demagoga que se sale de la escala.......Infumable.</t>
  </si>
  <si>
    <t>The dark side of the moon</t>
  </si>
  <si>
    <t>El sarcasmo, mi oscuro pasajero.</t>
  </si>
  <si>
    <t>Tonino Guitian</t>
  </si>
  <si>
    <t>Oh, teniente @Santi_ABASCAL ¿y ahora qué hacemos?</t>
  </si>
  <si>
    <t>https://pbs.twimg.com/media/DttGGBsWkAAMKJj.jpg</t>
  </si>
  <si>
    <t>Valencia-Madrid-Barcelona</t>
  </si>
  <si>
    <t>Humor. CQC .Crónica, mundo bipolar Teatro. Sátira. Empleado del yo RadioTV Literatura. Gastronomía. Libros. Francés. Galicia. Centrocampista de la Nada</t>
  </si>
  <si>
    <t>http://www.facebook.com/ToninoGuitian</t>
  </si>
  <si>
    <t>Echeminga no se entera nunca de nada, Como es argentino... Pero de todos modos, los izquierdosos se rigen por la ley del embudo: Lo ancho para ellos y lo estrecho para los demás" así que piensan que @Santi_ABASCAL no debe llevar pistola, pero... ¡Anguita, sí! pq es comunista. RT @ivanedlm: Es que son maravillosos... Echenique critica que @Santi_ABASCAL lleve pistola y se sorprende al decirle que también la llevaba Anguita  via @ABCespana</t>
  </si>
  <si>
    <t>https://twitter.com/ivanedlm/status/1070451935826898945
https://www.abc.es/espana/abci-echenique-critica-abascal-lleve-pistola-y-sorprende-decirle-tambien-llevaba-anguita-201812051602_noticia.html#ns_campaign=rrss-inducido&amp;ns_mchannel=abc-es&amp;ns_source=tw&amp;ns_linkname=noticia-foto&amp;ns_fee=0</t>
  </si>
  <si>
    <t>dTom Forrester 💙</t>
  </si>
  <si>
    <t>¿Os imagináis a @Santi_ABASCAL financiado por teocracias asesinas y narcodictaduras, ondeando esvásticas con la efigie de Hitler, llamando a desacatar elecciones y sentencias judiciales, y pactando con ex-miembros de bandas paramilitares? Entonces #VOX sería progre.</t>
  </si>
  <si>
    <t xml:space="preserve">Arkham Asylum </t>
  </si>
  <si>
    <t>Escritor, ilustrador y temeroso de Cthulhu. Contra todo tipo de ingeniería social. #DignidadMasculina 💙</t>
  </si>
  <si>
    <t>http://www.ivoox.com/podcast-crazy-horse-radio_sq_f1478462_1.html</t>
  </si>
  <si>
    <t>Cristian Vicuña U</t>
  </si>
  <si>
    <t>Con un lider como @Santi_ABASCAL @vox_es esta condenado al exito!!</t>
  </si>
  <si>
    <t>Gerardo Martinez 🇺🇾</t>
  </si>
  <si>
    <t>Entrevista a @Santi_ABASCAL "Sánchez no dura ni un minuto en La Moncloa si adelanta las elecciones"  … vía @ABCespana @abc_es RT @vox_es: 📰 Entrevista a @Santi_ABASCAL "Sánchez no dura ni un minuto en La Moncloa si adelanta las elecciones"  vía @ABCespana @abc_es</t>
  </si>
  <si>
    <t>https://www.abc.es/espana/abci-santiago-abascal-sanchez-no-dura-minuto-moncloa-si-adelanta-elecciones-201812042205_noticia.html#ns_campaign=amp-rrss-inducido&amp;ns_mchannel=abc-es&amp;ns_source=tw&amp;ns_linkname=noticia.video&amp;ns_fee=0
https://twitter.com/vox_es/status/1070417878074175499</t>
  </si>
  <si>
    <t>Montevideo Uruguay</t>
  </si>
  <si>
    <t>Miembro de La Iglesia de Jesucristo de los Santos de los Últimos Días. Casado, Familia Central Bendecida Uruguay Japón .- Embajador para la Paz (ONU) 🇺🇳🇺🇾</t>
  </si>
  <si>
    <t>http://www.lds.org/spa</t>
  </si>
  <si>
    <t>Más comentados ahora en Derecha/Centro Dcha.: ➀ @ANDRES_CANO42 ↑ ➁ @Albert_Rivera ↓ ➂ @juanchoex ↓ ➃ @susanadiaz ↓ ➄ @ahorapodemos ↓↓ ➅ @sanchezcastejon ↓ ➆ @vox_es ↓↓ ➇ @javiernegre10 ↓ ➈ @Santi_ABASCAL ↓↓</t>
  </si>
  <si>
    <t>Más influyentes ahora en Derecha/Centro Dcha.: ➀ @ANDRES_CANO42 ↑ ➁ @Albert_Rivera ↓ ➂ @juanchoex ↓ ➃ @javiernegre10 ↓ ➄ @josepramonbosch ↓ ➅ @Santi_ABASCAL ↓ ➆ @libertaddigital ↓ ➇ @MiguelMarfil2 ↓ ➈ @ldpsincomplejos ↑</t>
  </si>
  <si>
    <t>Santiago Abascal: "Han intentado matar a tres generaciones de mi familia", por @nrichart  vía @LoDeCultura</t>
  </si>
  <si>
    <t>https://www.libertaddigital.com/cultura/libros/2014-05-06/santi-abascal-han-intentado-matar-a-tres-generaciones-de-mi-familia-1276517691/</t>
  </si>
  <si>
    <t>El Indi</t>
  </si>
  <si>
    <t>¿Y la Inquisición pa' cuándo? @Santi_ABASCAL @vox_es</t>
  </si>
  <si>
    <t>A veces subo videos. Llegué tarde a twitter, por eso sigo con retraso. Soy de los que piensan que el talento es no ir tan despacio.</t>
  </si>
  <si>
    <t>sara👼🏼🏹</t>
  </si>
  <si>
    <t>E igualmente esto es internet amigos, el día que me cruce a santi abascal me sobrarán ganas de escupirle en la cara pero no lo haré</t>
  </si>
  <si>
    <t>泣き虫</t>
  </si>
  <si>
    <t>https://www.instagram.com/cxvtvre/</t>
  </si>
  <si>
    <t>Antonio 🎼ntonadoski✊🏻</t>
  </si>
  <si>
    <t>Éso me pregunto yo. ¿Qué está pasando? Tras décadas de superación de una historia negra,gris o rosa,dependiendo de cada español qué se precie, vuelve..."El guerracivilismo crónico Ibérico" made in Spain. Santi Abascal y cierra España....xf...Viva D. Alonso Quijano.😁😀😂😃😎😜</t>
  </si>
  <si>
    <t>españa</t>
  </si>
  <si>
    <t>ciudadano español,nacido en madrid en el año 1959,con más paciencia que Job Pero ya menos😠</t>
  </si>
  <si>
    <t>Almu Luna</t>
  </si>
  <si>
    <t>Aún tengo la esperanza de que toda esta movida de #VOX sea un experimento social tipo #LaTerceraOla y este viernes @Santi_ABASCAL anuncie un dramático giro de los acontecimientos a lo #RonJones</t>
  </si>
  <si>
    <t>Lluitant per dignificar la malaltia mental #MeMad #TLP |👩‍🎓 #TIS #PSI #LSE #TSEI | #AntiFeixisme | ♀️🎗| #LenguaChurra | Lo personal es político | @patraixCxV</t>
  </si>
  <si>
    <t>https://obertament.org/ca/lluita-contra-l-estigma/histories-de-vida-en-1-persona/blogs/author/285-al</t>
  </si>
  <si>
    <t>Pobre Palangana</t>
  </si>
  <si>
    <t>La verdad ni al medico, son 600.000 € y lo dice uno del partido de Santi Abascal que lleva una década "chupando del bote" del PP. Sois basura. RT @Duelelab: Enorme @ivanedlm: En @vox_es queremos en materia de inmigración lo que quiere Pablo Iglesias para su lujosa mansión de más de 1 millón de euros: -Muros y puertas de acero para que entre quién Iglesias quiera. -Cámaras de Seguridad. -Policía vigilando las 24 horas del día. 👏👏👏</t>
  </si>
  <si>
    <t>https://twitter.com/Duelelab/status/1070059324519706624</t>
  </si>
  <si>
    <t>pic.twitter.com/87Ip5SWxT6</t>
  </si>
  <si>
    <t>Nervión</t>
  </si>
  <si>
    <t>REYES DEL SUR Sin ti , mi vida es nada...</t>
  </si>
  <si>
    <t>Don Hermógenes</t>
  </si>
  <si>
    <t>Este país está loco que se ponga @vox_es de ORTEGA Lara y Abascal al nivel de Podemos, Bildus y demás . Mientras yo tomaba copas, uno estaba en un zulo y el otro @Santi_ABASCAL amenazado de muerte y defendiendo la Constitución y la democracia.... @santigonzalez10</t>
  </si>
  <si>
    <t>No le llames mentiroso, dile que se engaña a si mismo. No le llames tramposo, pregúntale si hoy anda un poco despistado</t>
  </si>
  <si>
    <t>DiegoJ Romero Salado</t>
  </si>
  <si>
    <t>¡Qué poca vergüenza! @pablocasado_, entre los que señalaban se encontraba nuestro común amigo @Santi_ABASCAL y #OrtegaLara ¿Y encima la ministra Delgado tilda de anticonstitucional a #VOX? Argumento: "Ad hominem" @aybarrapacheco.@AbeInfanzon @GeneralDavila @alfonso_ussia RT @pablocasado_: El foco lo ponían muy bien Otegi y cualquiera de sus adláteres cuando señalaban a las víctimas de la banda terrorista ETA.</t>
  </si>
  <si>
    <t>https://twitter.com/pablocasado_/status/1070334592689803265
https://www.abc.es/espana/abci-otegi-no-poner-foco-sino-casado-201812051118_video.html</t>
  </si>
  <si>
    <t>Sevilla-Madrid</t>
  </si>
  <si>
    <t>#Abogado adscrito al #TurnodeOficio Lcdo. en #Derecho y en RRLL y RRHH ( Mis opiniones son personales )</t>
  </si>
  <si>
    <t>http://abogados-sevilla.blogspot.com.es/</t>
  </si>
  <si>
    <t>Más comentados ahora en Derecha/Centro Dcha.: ➀ @ANDRES_CANO42 ↑ ➁ @Albert_Rivera ↑ ➂ @ahorapodemos ↑ ➃ @vox_es ↑ ➄ @juanchoex ↑ ➅ @InesArrimadas ↓ ➆ @PPopular ↑ ➇ @sanchezcastejon ↓↓ ➈ @Santi_ABASCAL ↓</t>
  </si>
  <si>
    <t>Madre mía, juzguen ustedes mismos ... esto está publicado en el #Facebook ... ¿ Esto lo sabe ese @Santi_ABASCAL #VOX ? ... ¿ Quien ha filtrado ese documento ? ... Aqui les dejo el enlace.</t>
  </si>
  <si>
    <t>https://www.facebook.com/photo.php?fbid=1135848073245308&amp;set=a.634714396692014&amp;type=3&amp;eid=ARBuDxP8bwwk6aY0WN8a3RCgO995k2O9SjVsxNsTFxrSO_arL0A2njzioAp09LCRA1IOoVcoKdl4ELvv</t>
  </si>
  <si>
    <t>https://pbs.twimg.com/media/DtseEU4W0AEO41G.jpg</t>
  </si>
  <si>
    <t>King of Crossroads Ω</t>
  </si>
  <si>
    <t>ESTO ES LO QUE DEFIENDEN @Santi_ABASCAL Y @vox_es</t>
  </si>
  <si>
    <t>https://pbs.twimg.com/media/DtsdQcWW4AA0ymK.jpg</t>
  </si>
  <si>
    <t>Midgar</t>
  </si>
  <si>
    <t>I'm the master of disaster, king of chaos and pizza eater! Aiming for heaven though serving in hell. Magneto was right!!</t>
  </si>
  <si>
    <t>Bruce Wayne</t>
  </si>
  <si>
    <t>Terminando de ver la entrevista de @Santi_ABASCAL en el @elprogramadear , Hacia tiempo que no veia un espectaculo periodístico tan lamentable por parte de @anarosaq , que con dos cojones se declara #feminista. Es usted una inculta y una ignorante de dimensiones desproporcionadas</t>
  </si>
  <si>
    <t>FX Dealer. The golden orphan.</t>
  </si>
  <si>
    <t>Gloria 🎄✨🐝</t>
  </si>
  <si>
    <t>estoy muy preocupada porque pienso que santi abascal tiene una voz muy bonita sos</t>
  </si>
  <si>
    <t>Planeta Campbell</t>
  </si>
  <si>
    <t>(sale mal)</t>
  </si>
  <si>
    <t>https://curiouscat.me/Gloriasaurio</t>
  </si>
  <si>
    <t>AlbertRomario</t>
  </si>
  <si>
    <t>Que grande es @Santi_ABASCAL ! RT @abc_es: Santiago Abascal: «No barajamos ninguna hipótesis que no pase por la expulsión del socialismo y el comunismo chavista de la Junta de Andalucía»  @PedroCuartango entrevista al líder de @vox_es</t>
  </si>
  <si>
    <t>https://twitter.com/abc_es/status/1070286665887944704
http://ver.abc.es/2amiz5</t>
  </si>
  <si>
    <t xml:space="preserve">Madrid ✈️ Latinoamérica </t>
  </si>
  <si>
    <t>Entrepreneur. A mí lo que me gusta es crear y vender... y créeme... soy muy bueno 😉💃🏽🚀 👨🏻‍💻</t>
  </si>
  <si>
    <t>.@Pnique acusa a @Santi_abascal de llevar pistola, dice que es propio de líderes de extrema derecha, y le recuerdan que Anguita la tuvo</t>
  </si>
  <si>
    <t>http://ww.cope.es/khu0i3</t>
  </si>
  <si>
    <t>No hay nada más "ULTRA" que ver a @ahorapodemos @laSextaTV @MVTARDE @iescolar y demás medios de comunicación, echando espuma por la boca sobre @vox_es Lo único que consiguen es el efecto contrario. Es sólo cuestión de tiempo que @Santi_ABASCAL tome el poder en el @Congreso_Es</t>
  </si>
  <si>
    <t>https://pbs.twimg.com/media/DtsXeGdXcAAjYbs.jpg</t>
  </si>
  <si>
    <t>Jacque</t>
  </si>
  <si>
    <t>Querifo @Santi_ABASCAL como consideras a una imigrante de la época Aznar?Ingeniera de Telecomunicaciones y que ha ELEGIDO vivir fuera de España por la MIERDA DE POLÍTICOS? Qué vas a hacer con nosotrxs? Al final yo soy súdaca y con 10 años vine a quitarte el trabajo...</t>
  </si>
  <si>
    <t>estudiante a tiempo semi-parcial.</t>
  </si>
  <si>
    <t>Jorge G. Macía</t>
  </si>
  <si>
    <t>He estado viendo entrevistas de Santi Abascal y lo que más miedo me da es que tiene labia y, quizá, capacidad para convencer.</t>
  </si>
  <si>
    <t>Director de @espada_y_pluma. Escribo y dirijo cosas. Esgrimista histórico. Estudiante de Biología. Contacto: Jorge12GM@Hotmail.com</t>
  </si>
  <si>
    <t>https://espadaypluma.com/</t>
  </si>
  <si>
    <t>A. Cano</t>
  </si>
  <si>
    <t>#Carreteraandalucial6 Que fácil es todo, inmigración ilegal ? Los señores que la apoyen que los metan en su casa y les den la mitad de su sueldo. Pero que no les cueste el dinero e impuestos a la gente que no lo comparte. Democracia es respetar esto. @Santi_ABASCAL</t>
  </si>
  <si>
    <t>Orgulloso de ser español.</t>
  </si>
  <si>
    <t>Que ruede la corona ❤️💛💜</t>
  </si>
  <si>
    <t>Abascal ha dicho literalmente que no son "ni fascistas ni antifascitas". Igual que yo, no soy ni nazi ni antinazi, soy antipodemita. @Santi_ABASCAL @vox_es</t>
  </si>
  <si>
    <t>North Sentinel Island</t>
  </si>
  <si>
    <t>© 1993. Remote work. Developer. Atheist. Vim mode on everything.</t>
  </si>
  <si>
    <t>http://pablo.life</t>
  </si>
  <si>
    <t>Pente 💪</t>
  </si>
  <si>
    <t>Un año muerto paquito y dos para firmar la Constitución, Bertolucci filmó "Noveciento" y esta escena con Depardieu y De Niro inspirada antes de la traición a España, Alemania, Italia y resto de Europa. @Santi_ABASCAL vete a la mierda. Pena de mi Andalucía.</t>
  </si>
  <si>
    <t>https://youtu.be/Y5MA7DIy5lc</t>
  </si>
  <si>
    <t>MLG (Malagafornia)</t>
  </si>
  <si>
    <t>Soy libre cuando sueño porque desprecié el dinero y suelo soñar de empeño. My mind, my madness, my rules.</t>
  </si>
  <si>
    <t>Víctor</t>
  </si>
  <si>
    <t>Al igual que @Santi_ABASCAL me gustan mucho los animales y por ello soy contrario a la caza. No obstante estoy con Vox en casi todo menos en eso. Por mi ojalá Abascal sea presidente del gobierno, Vox los únicos.</t>
  </si>
  <si>
    <t>Expaña (= a Villaimpuestos)</t>
  </si>
  <si>
    <t>Interesado en política, economía y medio ambiente. Amante de la naturaleza (flora y fauna). Liberal: poco Estado y mucho mercado, Escuela Austriaca. #LET #FACHA</t>
  </si>
  <si>
    <t>http://cesarvidal.com</t>
  </si>
  <si>
    <t>PablO RiverA ©</t>
  </si>
  <si>
    <t>"Somos un partido de extrema derecha en España". Un partido extremadamente fascista @Santi_ABASCAL eso es la vergüenza de Vox. RT @elprogramadear: Santiago Abascal, líder de Vox: "Somos un partido de extrema necesidad en España" #AbascalAR</t>
  </si>
  <si>
    <t>https://twitter.com/elprogramadear/status/1070244421269184513
http://bit.ly/2PmW2PA</t>
  </si>
  <si>
    <t>https://pbs.twimg.com/media/DtpFjR-W0AA8ANH.jpg</t>
  </si>
  <si>
    <t>Montevideo, Uruguay</t>
  </si>
  <si>
    <t>⚬De Aguada 🏀 ⚬De Izquierda ✌ ⚬De alcahuetear al patrón no se vuelve 👊 ⚬Nací en offside 🏳</t>
  </si>
  <si>
    <t>ahond</t>
  </si>
  <si>
    <t>Lo que dijo @Santi_ABASCAL "hariamos lo posible para que no se produjeran tantos abortos en España...nadie puede porque si, SIN MAS, interrumpir su embarazo..." VS lo que rotulan en el programa:</t>
  </si>
  <si>
    <t>https://pbs.twimg.com/media/DtsODMFWwAYO34j.jpg</t>
  </si>
  <si>
    <t>Español. Me interesa la política, la tecnología y la Justicia. No necesariamente en ese orden...</t>
  </si>
  <si>
    <t>Atención @vox_es @Santi_ABASCAL les recomiendo que vayan preparando a su gente para estar capacitados para la lucha, porque estos no son párvulos...estamos hablando de terroristas. RT @MiguelMarfil2: Resulta que el dirigente de una banda que asesinó a más de 800 personas hace el mismo discurso que Pablo Iglesias y Garzón, pero el facha eres tú. Es asqueaste que esta gentuza esté metida en nuestras instituciones.</t>
  </si>
  <si>
    <t>https://twitter.com/MiguelMarfil2/status/1070335080504147969</t>
  </si>
  <si>
    <t>pic.twitter.com/879ENRlHnz</t>
  </si>
  <si>
    <t>Agustín Giménez</t>
  </si>
  <si>
    <t>Sacerdote Diócesis de Getafe. Director del ISCR de la UESD.</t>
  </si>
  <si>
    <t>Sergii💚🇪🇸</t>
  </si>
  <si>
    <t>Estáis viendo el especial de Telecinco de la constitución? Mirar lo que avanzamos. De verdad queréis retroceder? @Santi_ABASCAL @vox_es quitar autonomias, quitar derecho a mujer y quitar matrimonio homosexual?? Coincido en cosas con vosotros pero eso si que no!!</t>
  </si>
  <si>
    <t>Real Betis Balompie. Administrativo de profesión. Amante del Futbol. Hermano de San Bernardo.</t>
  </si>
  <si>
    <t>Entonces avisamos a @Santi_ABASCAL para que se defienda 😉 RT @ArwenPlaza: @doguionrego Pues yo le conozco desde hace años. No pretenda darme lecciones</t>
  </si>
  <si>
    <t>https://twitter.com/ArwenPlaza/status/1070463190641901570</t>
  </si>
  <si>
    <t>Tarin-Va</t>
  </si>
  <si>
    <t>Aquí tenéis la flor y nata de @vox_es el abanderado de @Santi_ABASCAL que no os pase nada #Andaluces_de_Jaen, aceitunero altivos... si levantará la cabeza #MiguelHernandez... RT @manueljarias: Que no te cuenten milongas de banderizas, Vox: Son los de arriba que vienen a por los de abajo. Escucha a este fascista</t>
  </si>
  <si>
    <t>https://twitter.com/manueljarias/status/1070460295339040769</t>
  </si>
  <si>
    <t>pic.twitter.com/AVNsZZWEHD</t>
  </si>
  <si>
    <t>Castilla y León, España</t>
  </si>
  <si>
    <t>Casos aislados</t>
  </si>
  <si>
    <t>Reiteró por tercera vez hoy,@Santi_ABASCAL es mentiroso,fascista, chulo y prepotente. RT @MalditoDato: Dice Abascal que Vox ha sacado más votos que Podemos en ‘Las 3.000 viviendas’ de Sevilla. No es cierto. Vox fue el quinto partido más votado allí.</t>
  </si>
  <si>
    <t>Avergonzado y abrumado por los resultados del 2-D en Andalucía. Toda la puta vida quejándose de los caciques y ahora van y les dan el poder. Pobre Andalucía.</t>
  </si>
  <si>
    <t>Cuke Zapater</t>
  </si>
  <si>
    <t>Estimados Srs. @sanchezcastejon e @Pablo_Iglesias_ : Por su cercanía, relación, conversaciones, tratos o el eufemismo que quieran usar hoy con personas como el secuestrador de Elgóibar y sus declaraciones, @Santi_ABASCAL gana votos cada día. Cada pacto y alianza cuenta. RT @libertaddigital: Otegi apela a "los demócratas españoles" para crear "una alianza antifascista"</t>
  </si>
  <si>
    <t>https://twitter.com/libertaddigital/status/1070325941396590592
http://dlvr.it/QstpVz</t>
  </si>
  <si>
    <t>Las Batuecas</t>
  </si>
  <si>
    <t>Quise ser músico, quise ser arquitecto, quise ser informático, quise ser maestro y me recordaron que sólo puedo ser yo.</t>
  </si>
  <si>
    <t>http://cukecito.blogspot.com</t>
  </si>
  <si>
    <t>Ale Rodríguez</t>
  </si>
  <si>
    <t>Cuando algunos ignorantes llaman a @vox_es o a @Santi_ABASCAL fachas o extrema derecha, a parte de no tener ni idea, les recomiendo que lean esta carta de la banda terrorista ETA. Ésto era el fascismo. Muchos aún siguen en la calle e incluso son llamados hombres de paz.</t>
  </si>
  <si>
    <t>https://pbs.twimg.com/media/DtsJ76RW4AA037f.jpg</t>
  </si>
  <si>
    <t>Gol Sur del Benito Villamarín</t>
  </si>
  <si>
    <t>Ante las dificultades, fortaleza. En las alegrías, humildad ...y siempre confianza. Por encima del BETIS solo está Dios</t>
  </si>
  <si>
    <t>Es una pasada la de atentados fallidos por ETA que sufrió @Santi_ABASCAL . Al abrir el enlace se pueden ver algunos.👇👇👇👇</t>
  </si>
  <si>
    <t>https://books.google.es/books?id=vyeZAwAAQBAJ&amp;pg=PT226&amp;lpg=PT226&amp;dq=M.+Abascal+Pardo&amp;source=bl&amp;ots=LGvoogLsAp&amp;sig=W91H64sif6wfmZYUuXXi9ft03DA&amp;hl=es&amp;sa=X&amp;ved=2ahUKEwjdiOfa5YnfAhWsDMAKHVcJBv0Q6AEwAnoECAgQAQ#v=onepage&amp;q=M.%20Abascal%20Pardo&amp;f=false</t>
  </si>
  <si>
    <t>#Carreteraandalucial6 Otra manipulación terrible de la sexta poniendo palabras sueltas del triunfador @Santi_ABASCAL, en concreto machista, racista y ultra derecha... sacadas de un contexto donde el mismo dice que le acusan de eso, no que lo sea.</t>
  </si>
  <si>
    <t>M R C</t>
  </si>
  <si>
    <t>Seguramente me he perdido los numerosos comentarios de los #libertarios teóricos españoles sobre lo cojonudo que es que @Santi_ABASCAL tenga que ir armado ... #AutoDefensa</t>
  </si>
  <si>
    <t>Harleys-Banking-Politics-Marketing-Scuba Diving-Traveling-Tauromachy-Libertarians-Wine Culture (@Harley1199) and Luv for Life.</t>
  </si>
  <si>
    <t>🇪🇸 MOUdrileño 🇪🇸</t>
  </si>
  <si>
    <t>Si eres antipodemita y anticomunista eres de los míos...grande @Santi_ABASCAL RT @CasoAislado_Es: Santiago Abascal en 'El programa de Ana Rosa' #AbascalAR. "Somos antipodemitas y anticomunistas".</t>
  </si>
  <si>
    <t>https://twitter.com/casoaislado_es/status/1070244216461238272
https://casoaislado.com/abascal-en-el-programa-de-ana-rosa-somos-antipodemitas-y-anticomunistas/</t>
  </si>
  <si>
    <t>Illescas,Madrid,España...</t>
  </si>
  <si>
    <t>Autónomo,cosecha del 70,cansado de populistas y separatistas #NoPodeis #HalaMadrid #JMTR</t>
  </si>
  <si>
    <t>Joss</t>
  </si>
  <si>
    <t>#carreteraandalucial6 Lo estais bordando para hacer presidente a @Santi_ABASCAL</t>
  </si>
  <si>
    <t>Estamos</t>
  </si>
  <si>
    <t>Mireia 🦖</t>
  </si>
  <si>
    <t>Me acabo de quedar patidifusa al saber que una famosa instagramer a la que sigo hace tiempo es la mujer de @Santi_ABASCAL Qué asco saber que vende una súper vida de piruleta y que esa vida es al lado de un tío como ese tipo... Unfollow 😖</t>
  </si>
  <si>
    <t>Zurda. Amante de la cosmética asiática. Adoro viajar. Me encanta cocinar. Firme defensora de la enseñanza pública.</t>
  </si>
  <si>
    <t>https://vimeo.com/227775713</t>
  </si>
  <si>
    <t>Este es el currículum del NAZI @Santi_ABASCAL tiene 42 años y no ha pegado un palo al agua, lleva toda la vida, viviendo con sueldo público "k le pregunten a la lideresa @EsperanzAguirre k le puso un sueldazo de 80.000€"💩💩💩 #CarreteraAndaluciaL6</t>
  </si>
  <si>
    <t>https://pbs.twimg.com/media/DtsFJ5iW0AExoF5.jpg</t>
  </si>
  <si>
    <t>Pablo Iglesias no ha tenido un sueldo más alto que el del Presidente del Gobierno y además sin trabajar, Santi Abascal sí lo ha hecho. #CarreteraAndaluciaL6</t>
  </si>
  <si>
    <t>ivannoval</t>
  </si>
  <si>
    <t>Si los contertulios de la @laSextaTV en @CarreteraL6 que critican a @Santi_ABASCAL y @vox_es les estuvieran alabando entonces me preocuparía pero mientras sean ataques es buena señal.</t>
  </si>
  <si>
    <t>Oviedo, España</t>
  </si>
  <si>
    <t>Economista, Perito Judicial Criminalístico, Aikidoka y mal fotógrafo.</t>
  </si>
  <si>
    <t>http://www.ivannoval.es</t>
  </si>
  <si>
    <t>Pedro I. Altamirano</t>
  </si>
  <si>
    <t>El @Santi_ABASCAL este se codea con lo mejor de cada caverna: “Miembros del Ku-Klux-Klan felicitan a Santiago Abascal”</t>
  </si>
  <si>
    <t>http://www.lanuevaandalucia.com/andalucia/miembros-del-ku-klux-klan-felicitan-a-santiago-abascal/</t>
  </si>
  <si>
    <t>República Andaluza</t>
  </si>
  <si>
    <t>Andalucía =*= #VíaAndaluza @aZamblea @andalucesAND @AndaluciaMarcha</t>
  </si>
  <si>
    <t>https://www.azamblea.org</t>
  </si>
  <si>
    <t>Rafi·ki·skoʊp</t>
  </si>
  <si>
    <t>El único medio que lo está haciendo bien con el tema Vox: #CarreteraAndalucíaL6, ahora mismo desmontando al lumbreras de Santi Abascal.</t>
  </si>
  <si>
    <t>Que me gusta el cine. No vivo en Disneyland, pero ya me gustaría. Enfermo de Star Wars desde 1999. https://Instagram.com/rafikiscope</t>
  </si>
  <si>
    <t>https://www.youtube.com/rafikiscope</t>
  </si>
  <si>
    <t>Jesusن✞</t>
  </si>
  <si>
    <t>Es cierto @Santi_ABASCAL lleva una pistola como la lleva #JulioAnguita que cosas eh? #CarreteraAndaluciaL6</t>
  </si>
  <si>
    <t xml:space="preserve">De Sevilla al cielo </t>
  </si>
  <si>
    <t>Sevillano, Cofrade y Bético, detesto la ignorancia y la hipocresía, políticamente liberal, leal a mis principios. 🇪🇸</t>
  </si>
  <si>
    <t>Más comentados ahora en Derecha/Centro Dcha.: ➀ @Albert_Rivera ↓ ➁ @ANDRES_CANO42 ↑ ➂ @InesArrimadas ↓ ➃ @sanchezcastejon ↑ ➄ @ahorapodemos ↑ ➅ @vox_es ↑ ➆ @juanchoex ↓ ➇ @manuelvalls ↑ ➈ @Santi_ABASCAL ↑</t>
  </si>
  <si>
    <t>ChoniAdefesia</t>
  </si>
  <si>
    <t>#CarreteraAndaluciaL6  Si tirad de la manta con @Santi_ABASCAL y ganara otros 20000 votantes mas. Esto es imparable. Quien no recuerda cuando en Llodio le pintaban los caballos y estaba amenazado. Jesus Cintora , hablaras de eso?</t>
  </si>
  <si>
    <t>https://m.youtube.com/watch?v=oIMxo0mWe0Q</t>
  </si>
  <si>
    <t>Más influyentes ahora en Derecha/Centro Dcha.: ➀ @ANDRES_CANO42 ↑ ➁ @Albert_Rivera ↓ ➂ @juanchoex ↓ ➃ @josepramonbosch ↑ ➄ @Santi_ABASCAL ↓ ➅ @JosPastr ↓ ➆ @ldpsincomplejos ↓ ➇ @Nanchinho ↑ ➈ @MiguelMarfil2 ↑</t>
  </si>
  <si>
    <t>Antonio Solana M</t>
  </si>
  <si>
    <t>Baño con repaso y aclarado de @Santi_ABASCAL a @anarosaq , le ha buscado las vueltas y sólo ha obtenido respuestas claras,sinceras y directas. Un lider sin pelos en la lengua! #AbascalAR</t>
  </si>
  <si>
    <t>Familia, amigos, comics, cine, videojuegos, libros, juegos de tablero y rock &amp; roll, quien se aburre? a mis dias les faltan 5 o 6 horas @AnsiaVivaComics</t>
  </si>
  <si>
    <t>Es que son maravillosos... Echenique critica que @Santi_ABASCAL lleve pistola y se sorprende al decirle que también la llevaba Anguita  via @ABCespana</t>
  </si>
  <si>
    <t>https://www.abc.es/espana/abci-echenique-critica-abascal-lleve-pistola-y-sorprende-decirle-tambien-llevaba-anguita-201812051602_noticia.html#ns_campaign=rrss-inducido&amp;ns_mchannel=abc-es&amp;ns_source=tw&amp;ns_linkname=noticia-foto&amp;ns_fee=0</t>
  </si>
  <si>
    <t>Mateo Perez.</t>
  </si>
  <si>
    <t>Me parece que Don @Santi_ABASCAL se esta frotando las manos. RT @el_pais: PETA plantea cambiar dichos populares como “matar dos pájaros de un tiro” por “alimentar dos pájaros con un panecillo”. Para la asociación animalista compara este tipo de refranes con el lenguaje racista, homofóbico o discriminatorio</t>
  </si>
  <si>
    <t>https://twitter.com/el_pais/status/1070383374647390208
http://bit.ly/2SpNCJ6</t>
  </si>
  <si>
    <t>Hogwarts</t>
  </si>
  <si>
    <t>Rojiblanco de corazón. Alejandro Valverde.</t>
  </si>
  <si>
    <t>Francisco</t>
  </si>
  <si>
    <t>Escuchando la rueda d prensa d @Santi_ABASCAL me quedo con 1 frase q lo resume todo. " @vox_es estará a la altura d sus votantes" SUFICIENTE</t>
  </si>
  <si>
    <t>Español, Leonés pa más señas. antifeminazi, anticomunista, antifascista. igualdad hasta el final. Viva 🇪🇸🇪🇸</t>
  </si>
  <si>
    <t>Sólo por esto estáis devolviendo la ilusión a tantísimos Españoles. @vox_es @Santi_ABASCAL @Ortega_Smith RT @vox_es: 🚨 Rueda de prensa de @Santi_ABASCAL ⤵ 🗨 "Queremos reformar el Estatuto andaluz para que esta comunidad sea pionera en devolver competencias". 🗨 "No tenemos voluntad de entrar en el Gobierno, no queremos consejerías, ni sillones, ni presidir el Parlamento".</t>
  </si>
  <si>
    <t>Francescalafresca</t>
  </si>
  <si>
    <t>Donde ha dicho @vox q esté en contra del matrimonio homosexual @JesusCintora EMBUSTERO! #CarreteraAndaluciaL6 @Santi_ABASCAL @Alternativa_VOX #AndalucíaPorEspaña</t>
  </si>
  <si>
    <t>Si no puedes convencerlos, confundelos</t>
  </si>
  <si>
    <t>Ricardo Sanz</t>
  </si>
  <si>
    <t>Estoy dando un repaso a la entrevista en TETA5 a Nuestro Presidente Santiago Abascal, Debo decir Chapó, vaya capotazos le da a Ana Rosa, Por más que intenta meterle los dedos, Santi no se deja.</t>
  </si>
  <si>
    <t>badajoz</t>
  </si>
  <si>
    <t>📚</t>
  </si>
  <si>
    <t>https://www.lavozdemiespana.es/2018/11/la-espana-del-siglo-xxii/</t>
  </si>
  <si>
    <t>Marcos Pastor Galán</t>
  </si>
  <si>
    <t>La noticia más ridícula que los ignorantes se han creído. Cualquier persona que haya estado en un comedor escolar, sabrá que se come cerdo sin inconvenientes en cualquier colegio aunque @Santi_ABASCAL trate de convencerte de que los musulmanes dominan la alimentación. RT @ElHuffPost: "Nos quieren quitar el jamón y quieren que comamos lechuga como las orugas" También tiene frases contra los animalistas: el discurso del miedo del líder de VOX se vuelve hasta ridículo</t>
  </si>
  <si>
    <t>https://twitter.com/ElHuffPost/status/1069712884978999297</t>
  </si>
  <si>
    <t>https://pbs.twimg.com/media/DtfAAVBX4AEnDPJ.jpg</t>
  </si>
  <si>
    <t>Enfermero en Hospital General de Segovia 🏥Cruz Roja y Protección Civil 🚑💉Colaborador de @proceenfermeria 🔊técnico de sonido</t>
  </si>
  <si>
    <t>http://diariodeuntecnicodesonido.blogspot.com.es</t>
  </si>
  <si>
    <t>Vomitivo el programa de @JesusCintora es acoso y derribo a @vox_es q manera de manipular y tergiversar #CarreteraAndaluciaL6 #EspañaporAndalucía #AndalucíaPorEspaña #andaluciaporfinlibre @Santi_ABASCAL @Alternativa_VOX</t>
  </si>
  <si>
    <t>Construyendo Exitos [4,6K]</t>
  </si>
  <si>
    <t>Precisa información que ni yo, ni supongo que tantos otros, conocíamos, que convierte a @Santi_ABASCAL en más importante aún de lo que ya es. Datos con los que hay que restregar la cara en modo lijadora, a toda esta peligrosa banda de la ultraizquierda. RT @rumbopropio: 🔴🔴 Los inicios de @Santi_ABASCAL en #LLodio. El chaval de rojo es #Abascal junto a su padre (de amarillo) los 2 amenazados por #ETA. Ahora ya puedes llamarle de #ExtremaDerecha desde tu atalaya de intelectual. 🎥👇 #EleccionesAndalucía</t>
  </si>
  <si>
    <t>https://twitter.com/rumbopropio/status/1069696541886169089
https://youtu.be/S8_g6JS2z24</t>
  </si>
  <si>
    <t>● Cuerpo mental funcionando y capaz de grandes cosas. ● Mi currículum: De España 🇪🇸 Desde siempre y para siempre: Español</t>
  </si>
  <si>
    <t>Mentón Americano</t>
  </si>
  <si>
    <t>¿Por qué @vox_es y @Santi_ABASCAL defienden tanto la familia natural si fueron los que trajeron a los maricones al mundo? Igual la familia homoparental trae heteros "naturales" de los que les gustan. 🙃</t>
  </si>
  <si>
    <t>DeMalaOstia</t>
  </si>
  <si>
    <t>Venga @Santi_ABASCAL sal de la cueva... #TeHemosPillado #NoCuela va... 😘 RT @Mazzinguerzett1: @vox_es</t>
  </si>
  <si>
    <t>https://twitter.com/Mazzinguerzett1/status/1070284327152431104</t>
  </si>
  <si>
    <t>herri arrantzale baten !!</t>
  </si>
  <si>
    <t>No aguanto a los fatxas,racistas,homofobos,ni gente del estilo.Athletic ❤️ Antifascista SIEMPRE! Masajista / Osteópata💄👠💍 #DeMalaOstia es como me pones.</t>
  </si>
  <si>
    <t>http://ehbildu.net/es</t>
  </si>
  <si>
    <t>Acojonante la megaentrevista de Ana Rosa Quintana a @Santi_ABASCAL Esto empieza a ser muy sospechoso...</t>
  </si>
  <si>
    <t>Tab</t>
  </si>
  <si>
    <t>Gracias a @Santi_ABASCAL igual en UK también piensan que por ser extranjeros los superespañoles ( a caballo o a pie) robamos bolsos a las abuelas. Y la vida sigue...#Brexit, #fascistas , #VOXilegalizacion</t>
  </si>
  <si>
    <t>Txaro</t>
  </si>
  <si>
    <t>"El feminismo oprime mi masculinidad ". @Santi_ABASCAL @feminismologico @FeministaJueves</t>
  </si>
  <si>
    <t>https://pbs.twimg.com/media/Dtr8ynpWoAECZIC.jpg</t>
  </si>
  <si>
    <t>Transitando en la resistencia. En la otra orilla. Al encuentro de caricias.</t>
  </si>
  <si>
    <t>http://riojavioleta.com</t>
  </si>
  <si>
    <t>Gracias a la increíble promoción de Pablo Iglesias hoy VOX ganaría por mucho las elecciones generales de España con el 35% de los votos. Gracias Podemos. Qué San Yugo Chávez te bendiga @FJL_EsRadio @Ortega_Smith @Santi_ABASCAL @monasterioR VIVA VOX VOTO VOX POR UNA ESPAÑA VIVA</t>
  </si>
  <si>
    <t>https://pbs.twimg.com/media/Dtr8YrBV4AAVn82.jpg</t>
  </si>
  <si>
    <t>el primo de Rivera</t>
  </si>
  <si>
    <t>Hola @Pablo_Iglesias_ , que dice @Santi_ABASCAL que cunado le vais a dar duro a esto, que ya estáis tardando. #PETA #AbascalAR #FrenarElFascismo RT @el_pais: PETA plantea cambiar dichos populares como “matar dos pájaros de un tiro” por “alimentar dos pájaros con un panecillo”. Para la asociación animalista compara este tipo de refranes con el lenguaje racista, homofóbico o discriminatorio</t>
  </si>
  <si>
    <t>Estupefacto</t>
  </si>
  <si>
    <t>Así va España</t>
  </si>
  <si>
    <t>Esto de Santi Abascal, el enchufado de Ignacio González</t>
  </si>
  <si>
    <t>https://www.asivaespana.com/politica/esto-de-santi-abascal-el-enchufado-de-ignacio-gonzalez</t>
  </si>
  <si>
    <t>Política, sociedad, vergüenza ajena, curiosidades, gifs, memes... El lado cómico de nuestro país, que no es poco</t>
  </si>
  <si>
    <t>http://www.asivaespana.com</t>
  </si>
  <si>
    <t>Leganews</t>
  </si>
  <si>
    <t>HEMEROTECA | Cuando nadie entrevistaba al presidente de @vox_es @Santi_ABASCAL lo hicimos nosotros hace 18 meses.</t>
  </si>
  <si>
    <t>https://www.leganews.es/entrevista-con-santiago-abascal-lider-nacional-de-vox/</t>
  </si>
  <si>
    <t>Leganés, Comunidad de Madrid</t>
  </si>
  <si>
    <t>El periódico de Leganés. La información de Leganés.</t>
  </si>
  <si>
    <t>http://www.leganews.es</t>
  </si>
  <si>
    <t>Gabi</t>
  </si>
  <si>
    <t>Te ha gustado Famous? @Santi_ABASCAL</t>
  </si>
  <si>
    <t>Otro millón de votos para @Santi_ABASCAL: RT @el_pais: PETA plantea cambiar dichos populares como “matar dos pájaros de un tiro” por “alimentar dos pájaros con un panecillo”. Para la asociación animalista compara este tipo de refranes con el lenguaje racista, homofóbico o discriminatorio</t>
  </si>
  <si>
    <t>Jesús Javier Moreno</t>
  </si>
  <si>
    <t>Hasta a Santi Abascal le ha tenido que gustar la actuación de Famous.</t>
  </si>
  <si>
    <t>Técnico de Comercio y Marketing || Del @Cadiz_CF.</t>
  </si>
  <si>
    <t>http://instagram.com/donyesu</t>
  </si>
  <si>
    <t>Alfonso🇪🇸</t>
  </si>
  <si>
    <t>👏👏👏👏👏👏 @Santi_ABASCAL a la familia. Que ahí es donde han puesto todas las cosas a su nombre. RT @almudenanegro: 🔴 @vox_es exigirá una auditoria de todos los cargos enchufados por el régimen socialista andaluz en 40 años</t>
  </si>
  <si>
    <t>https://twitter.com/almudenanegro/status/1070227150513557504
https://okdiario.com/espana/2018/12/05/vox-exigira-auditoria-todos-cargos-enchufados-regimen-socialista-andaluz-40-anos-3429573#.XAeGSop_hc8.twitter</t>
  </si>
  <si>
    <t>Ingeniero T. Agrícola. Liberal, capitalista y ultrafacha. No venderé mi alma al Estado! Nunca permitas que el sentido de la moral, te impida hacer el bien.</t>
  </si>
  <si>
    <t>Carlos Olivo V.</t>
  </si>
  <si>
    <t>No sé si votaría por un partido nacionalista (español) como Vox, pero desde luego en esta entrevista en @elprogramadear, @Santi_ABASCAL demuestra tener madera de líder y un discurso de una sinceridad y claridad rara en la política española.</t>
  </si>
  <si>
    <t>https://www.youtube.com/watch?v=hAWZRD9sfnk</t>
  </si>
  <si>
    <t>Donostia y Madrid</t>
  </si>
  <si>
    <t>Hombre racional y economista liberal. Creo sólo en la Ciencia. También en Dios, pero sólo por imperativo darwiniano. Escribo con estilográfica y monto en bici.</t>
  </si>
  <si>
    <t>http://www.verdesmontenegro.es</t>
  </si>
  <si>
    <t>Xabibenputa</t>
  </si>
  <si>
    <t>En serio, lo de Santi Abascal es algo que me impacta profundamente. Le doy muchas vueltas y sólo se me ocurre que en realidad esto es una simulación de los Superiores Desconocidos para llevarme al límite. Puto Santiago puto Abascal sacando 12 escaños en puta Andalucia :(</t>
  </si>
  <si>
    <t>Noble por nacimiento, valiente y sufrido por naturaleza</t>
  </si>
  <si>
    <t>pinkpanther</t>
  </si>
  <si>
    <t>Felicidades! @Santi_ABASCAL los andaluces hemos votado y los violentos antidemocráticos se han tirado a la calle...NO RESPETAN LAS URNAS! los radicales violentos y sus lideres se han creido k Andalucía era "su Venezuela"...</t>
  </si>
  <si>
    <t>https://pbs.twimg.com/media/Dtr6Vj8WoAAgrov.jpg</t>
  </si>
  <si>
    <t>Hola @Santi_ABASCAL que opináis y cuál es vuestro programa sobre los autónomos? Muy agradecido si contestais.</t>
  </si>
  <si>
    <t>entre unas cosas y otras</t>
  </si>
  <si>
    <t>Nunca olvido una cara.Pero en su caso, hare gustoso una excepción. Autónomo(pagando para trabajar) k YA HAY QUE TENER COJONES. CADA DÍA QUE PASA ENTIENDO MENOS</t>
  </si>
  <si>
    <t>.@Santi_Abascal quiere reformar el Estatuto para que Andalucía sea “pionera en devolver competencias”: "Estar dentro de ellas es lo mejor para cambiarlas"</t>
  </si>
  <si>
    <t>http://ww.cope.es/uua521</t>
  </si>
  <si>
    <t>Sombra</t>
  </si>
  <si>
    <t>esto es @vox_es señor @Santi_ABASCAL , si, absuelto de violencia machista, lo cual respeto la justicia, pero no dice lo mismo del dopaje y de su tráfico.... ay mai</t>
  </si>
  <si>
    <t>https://www.marca.com/atletismo/2018/12/05/5c08023c468aeb50388b45ed.html</t>
  </si>
  <si>
    <t>Cantabria, Santander</t>
  </si>
  <si>
    <t>Proyectando Horizontes Ficticios, a lugares singulares, donde el ser humano no tiene cabida, solo por ser disfuncional, y estéril. Sin conciencia ni razón.</t>
  </si>
  <si>
    <t>JCR</t>
  </si>
  <si>
    <t>En Andalucía ya somos un poquito más Europa  @vox_es @Santi_ABASCAL @Santinovelota @el_pais</t>
  </si>
  <si>
    <t>http://talcualdigital.com/index.php/2018/12/04/en-andalucia-ya-somos-un-poquito-mas-europa/</t>
  </si>
  <si>
    <t xml:space="preserve">En  vzla. </t>
  </si>
  <si>
    <t>Fiel defensor de la democracia nací con ella y muero con ella</t>
  </si>
  <si>
    <t>Ahora voy a decir una cosa muy en serio, me decís hace veinte años que Santi Abascal, el fascista borderline del pueblo, iba a revolucionar la política nacional en el 2018 y os hubieESTOY LLORANDO EN LA DUCHA AHORA MISMO</t>
  </si>
  <si>
    <t>RAY ,,, #1.808</t>
  </si>
  <si>
    <t>ETA , escribía a Santi Abascal , al que llaman fascista la izq. radical "amigos" de los políticos de Bildu .</t>
  </si>
  <si>
    <t>https://pbs.twimg.com/media/Dtr5oa2W0AAe32Q.jpg</t>
  </si>
  <si>
    <t>Peatón del mundo, lo material importa pero más sentirse libre y feliz amando y respetando,</t>
  </si>
  <si>
    <t>Francisco Martinez</t>
  </si>
  <si>
    <t>Los que no entiendan las medidas de VOX y estén confundidos aquí está el Señor Santi Abascal para explicarlo sin tabú.</t>
  </si>
  <si>
    <t>https://www.facebook.com/1445977115/posts/10218962565562213/</t>
  </si>
  <si>
    <t>Almeria</t>
  </si>
  <si>
    <t>Santi Abascal, de joven, en los tiempos más oscuros.</t>
  </si>
  <si>
    <t>Azote de los progres</t>
  </si>
  <si>
    <t>Dice Ana rosa en la entrevista a @Santi_ABASCAL que la violencia de genero está vinculada a la educación. Luego Abascal le dice que está vinculada a la inmigración y lo niega. ¿Cómo piensa Ana Rosa controlar la educación de los que se educan en otros países?. 🤔🤔</t>
  </si>
  <si>
    <t>Harto de gente falsa. Demasiado progre cutre en la red. Podemitas no me escribáis por favor, me salen salpullidos. No doy followback si es lo que buscas.</t>
  </si>
  <si>
    <t>Jose Morales Vazquez</t>
  </si>
  <si>
    <t>Hoy he cogido este formulario en Mutxamel (Alicante). La mesa estaba muy concurrida. Me alegro mucho por @Santi_ABASCAL y por @vox_es</t>
  </si>
  <si>
    <t>https://pbs.twimg.com/media/Dtr4WYnW0AAbNDe.jpg</t>
  </si>
  <si>
    <t xml:space="preserve">Alicante </t>
  </si>
  <si>
    <t>Una estrella y tres soles.</t>
  </si>
  <si>
    <t>V_de_Valtonic</t>
  </si>
  <si>
    <t>Imagino que @VictoriaPrego y la @aprensamadrid ya han sacado su comunicado de apoyo a @El_Plural y criticando muy duramente a @Santi_ABASCAL y a @vox_es</t>
  </si>
  <si>
    <t>Cien millones de muertos después siguen sobrando fachas. Habrá que seguir.</t>
  </si>
  <si>
    <t>Esta es la objetividad de @laSextaTV y @sextaNoticias, @Santi_ABASCAL “la voz de los ultras”... De repente, de un dia para otro, en Andalucia han aparecido 400.000 ultras. Antes ni los mencionaban.. ahora, despues de que @vox_es usase en su sede el derecho de admisión,le atacan</t>
  </si>
  <si>
    <t>https://pbs.twimg.com/media/Dtr3PtHXQAA8Vdo.jpg</t>
  </si>
  <si>
    <t>Byly el Niño</t>
  </si>
  <si>
    <t>ETB golpea a VOX con El Yunque, Irán y las "tarjetas green" de Santi Abascal  Vaya pandilla de manipuladores separatistas y probatasunos la ETB,¡asco dan! y el Borja Mari este del pp un parasito inutil que no sirve para nada, y ¿Moncloa de donde sale?</t>
  </si>
  <si>
    <t>https://www.moncloa.com/etb-vox-yunque-iran-abascal/#.XAhKmv-0iVM.twitter</t>
  </si>
  <si>
    <t>DR HACKEMBUSH💯💙❤️💛🦇</t>
  </si>
  <si>
    <t>Hoy @Santi_ABASCAL Santiago Abascal de @vox_es 🇪🇸ha dado la lección mas grande al pueblo ESPAÑOL de lo que queremos ser y lo que sentimos. MUCHISIMAS GRACIAS DESDE VALENCIA !!!!!</t>
  </si>
  <si>
    <t>https://pbs.twimg.com/media/Dtr24VQWkAEwPRb.jpg</t>
  </si>
  <si>
    <t>Valenciano , Español y no soporto a las 🐀🐀 pancas . 💙❤️💛🦇💯</t>
  </si>
  <si>
    <t>Yo Siempre Tengo La Razón 🇪🇸</t>
  </si>
  <si>
    <t>Como le pase algo a Santi Abascal por culpa de PODEMOS, se puede liar como cuando mataron a Calvo Sotelo... estos fascistas que insultan a VOX con los adjetivos que ellos son, quieren una nueva guerra civil incitando al odio... #Comunismo #Pablenin</t>
  </si>
  <si>
    <t>Cuenta para joaQuim Torra (Torres), el que lleva la razón siempre, el molto honorable de los indepes. VISCA CATALUNYA LLIURE DE INDEPES Y VIVA ESPAÑA 🇪🇸</t>
  </si>
  <si>
    <t>Más influyentes ahora en Derecha/Centro Dcha.: ➀ @Albert_Rivera ↑ ➁ @ANDRES_CANO42 ↓ ➂ @juanchoex ↑ ➃ @ldpsincomplejos ↑ ➄ @libertaddigital ↑ ➅ @JosPastr ↓ ➆ @josepramonbosch ↑ ➇ @Santi_ABASCAL ↑ ➈ @javiernegre10 ↑</t>
  </si>
  <si>
    <t>luissevillarodriguez</t>
  </si>
  <si>
    <t>#JaqueAlRégimenDel78 jajajaja. Creo que no habéis pillado el ascenso de VOX en Andalucía. Si ha subido allí, imaginad en las Generales gracias a estas promociones de cargaros la Constitución, la Unidad, la Paz, etc...Yo ya veo a @Santi_ABASCAL de Presidente. Seguid, seguid.</t>
  </si>
  <si>
    <t>Cantabria, España</t>
  </si>
  <si>
    <t>Me encanta leer, ir al cine y compartir mi vida con las personas.</t>
  </si>
  <si>
    <t>Vaya, mucho han tardado los primos pobres de La Secta en apañar un vídeo promocional de corta pega para alertar del comeniños @Santi_ABASCAL. Son tan tontos que van a conseguir el efecto contrario. Que sigan. Más gente les votará. Al tiempo. RT @ElHuffPost: Dice que la prensa le ha etiquetado sin motivos como "facha, homófobo, xenófobo, machista, ultraderechista" y un largo etcétera. Estas son algunas de las polémicas declaraciones que le han hecho merecedor de tales adjetivos.</t>
  </si>
  <si>
    <t>https://twitter.com/ElHuffPost/status/1069546792860012544</t>
  </si>
  <si>
    <t>Mientras miles de estudiantes de familias españolas no pueden costearse una matrícula... es alucinante "el arrodillamiento" del PSOE y la izquierda ante esta gente... @Santi_ABASCAL @vox_es los españoles primero. 😷😓☭🌹 RT @Bilbaina27: El Gobierno pagará la universidad a los estudiantes marroquíes. Señor @sanchezcastejon los españoles trabajando como esclavos para que nuestros hijos vayan a la universidad y usted (con nuestro dinero) se la paga a los marroquíes??  via @MediterraneoDGT</t>
  </si>
  <si>
    <t>ἀναρχία</t>
  </si>
  <si>
    <t>Encuentra las 3 diferencias entre @Santi_ABASCAL y #elcuentodelacriada #CarreteraAndaluciaL6</t>
  </si>
  <si>
    <t>https://pbs.twimg.com/media/DtrzbXDW0AAx2Uc.jpg</t>
  </si>
  <si>
    <t>Earth</t>
  </si>
  <si>
    <t>El cielo es la única frontera que objetivamente puedo entender. Apatrido, apolítico y ateo. De naturaleza insumisa.</t>
  </si>
  <si>
    <t>Así miente @Santi_Abascal para sembrar su odio a los inmigrantes: "Las mujeres asesinadas en España lo han sido, mayoritariamente, a manos de extranjeros". Es falso. 7 de cada 10 asesinatos fueron cometidos por españoles en los últimos cinco años.</t>
  </si>
  <si>
    <t>Cañas por España 🇪🇸</t>
  </si>
  <si>
    <t>Mientras Ciudadanos se pega por el poder sin más, VOX exige una auditoría al enchufismo. Que se prepare el PSOE. 📰 «Levantaremos las alfombras para acabar con años de corrupción clientelar en Andalucía» Entrevista de @okdiario a @Santi_ABASCAL</t>
  </si>
  <si>
    <t>https://okdiario.com/espana/2018/12/05/santiago-abascal-haremos-levantado-alfombras-acabar-anos-corrupcion-clientelar-andalucia-3429560?utm_campaign=ok&amp;utm_medium=Social&amp;utm_source=Twitter#Echobox=1544014810</t>
  </si>
  <si>
    <t>Iniciativa juvenil de @vox_es. Comprometidos en mejorar España. Todos los meses iremos de cañas con un invitado especial, ¡no te lo pierdas!</t>
  </si>
  <si>
    <t>Iván Fernández</t>
  </si>
  <si>
    <t>Mira @Santi_ABASCAL como cierres @canalsur y no pueda ver carnaval de meto la Smith &amp; Wesson por el culo.</t>
  </si>
  <si>
    <t xml:space="preserve">Córdoba </t>
  </si>
  <si>
    <t>Estudiante grado de historia (UCO), aficionado al carnaval gaditano y a @elseludecadi. Componente Comparsa los Herederos. Por el cambio @ahorapodemos.</t>
  </si>
  <si>
    <t>https://m.facebook.com/ivan.fernandezolivares.3?slog=82716&amp;seq=206906285&amp;rk=0&amp;st=user&amp;fbtype=2048&amp;re</t>
  </si>
  <si>
    <t>Adan Esmit</t>
  </si>
  <si>
    <t>Sí @pablocasado_ , @Albert_Rivera y @Santi_ABASCAL, son momentos en los que se requiere políticos de gran nivel y responsabilidad. Es hora de España 🇪🇸 por encima de todo. RT @AdanEsmit: Mi recomendación para: @JuanMa_Moreno de @PPopular @JuanMarin_Cs de @CiudadanosCs @FSerranoCastro de @vox_es La formación de gobierno en Andalucía es prioritaria y urgente. Esa responsabilidad no admite cambalaches. En Andalucía hay que resolver los problemas de Andalucía.</t>
  </si>
  <si>
    <t>https://twitter.com/adanesmit/status/1070407372307423232</t>
  </si>
  <si>
    <t>https://pbs.twimg.com/media/DtrZ0bGWoAAVOzH.jpg</t>
  </si>
  <si>
    <t>The world</t>
  </si>
  <si>
    <t>Las Cosas de Adan Esmit: Lucubraciones de un ciudadano español, que no entiende de aficiones políticas. Sólo de hechos y resultados.</t>
  </si>
  <si>
    <t>http://adanesmit.blogspot.com/</t>
  </si>
  <si>
    <t>Batalleta</t>
  </si>
  <si>
    <t>Para derrotar a VOX, hay que derrocar a Santi Abascal. Id buscando los horrocruxes</t>
  </si>
  <si>
    <t>Ontinyent</t>
  </si>
  <si>
    <t>Todo en la vida, puede resumirse en una canción o un capítulo de los Simpson.</t>
  </si>
  <si>
    <t>Racionalismo español</t>
  </si>
  <si>
    <t>@Santi_ABASCAL en 2003 tomando posesión como concejal en Llodio (Álava) amenazado por decenas de etarras. Honor a los valientes en los años más sangrientos. @vox_es</t>
  </si>
  <si>
    <t>¿Quién ha sido el genio que ha hecho esto de @Santi_ABASCAL y @Pablo_Iglesias_? 😂😂😂😂😂😂😂😂😂😂😂😂😂😂😂😂😂😂</t>
  </si>
  <si>
    <t>TedRguez</t>
  </si>
  <si>
    <t>Entre la tercera edad andaluza existe una gran simpatía por Canal Sur. Igual un vasco centalista como @Santi_ABASCAL no es el más apropiado para exigir el cierre de una televisión pública tan querida. No es más que un traidor irrespetuoso, como cualquier fascista.</t>
  </si>
  <si>
    <t>Granada, Spain</t>
  </si>
  <si>
    <t>University of Granada Archaeology student || Tech enthusiast || Scientific dissemination and opinion || Atheist Republic //🌹🇪🇺 Socialdemócrata y europeísta</t>
  </si>
  <si>
    <t>Sandrah</t>
  </si>
  <si>
    <t>Viendo ahora la entrevista de @Santi_ABASCAL un "experto" dice q propuestas de @vox_es parecen ideadas x "4 machotes reunidos en una taberna".. Yo no entro en esa descripción, soy mujer y apoyo esas propuestas, ¿violencia de género? La violencia es violencia, punto #AbascalAR</t>
  </si>
  <si>
    <t>Entidad biológica multidisciplinar...</t>
  </si>
  <si>
    <t>Manuuu</t>
  </si>
  <si>
    <t>Me da mucha pena que @Santi_ABASCAL y @vox_es den tanta pena, tienen ideas de personas analfabetas. Buenas noches.</t>
  </si>
  <si>
    <t>18% 27💜 Preimpresión Digital📚</t>
  </si>
  <si>
    <t>MallorKaos</t>
  </si>
  <si>
    <t>Pues yo veo en la tele a Santi Abascal y veo que se ha quedado con la mentalidad de los años 60, donde no podías mostrar tu homosexualidad y eso te hacía estar todo el rato cabreado, y para evitar que te llamasen maricón tenías que ser el más facha de todos. Angelito</t>
  </si>
  <si>
    <t xml:space="preserve"> Mallorca</t>
  </si>
  <si>
    <t>Soy la oveja ebria de la familia.</t>
  </si>
  <si>
    <t>Pronto será más difícil @Santi_ABASCAL aprenderán 😉 RT @doguionrego: Tres tertulias de estas y @vox_es saca mayoría absoluta 🙌 Están rabiosos no preguntan conspiran 🙌</t>
  </si>
  <si>
    <t>https://twitter.com/doguionrego/status/1070429650416033793
https://twitter.com/La_SER/status/1070424816950239233</t>
  </si>
  <si>
    <t>Snuff your Friendly Satanist Neighbour</t>
  </si>
  <si>
    <t>Yo sólo digo que Santi Abascal tiene pipa y nosotros no. ¿Qué vais a hacer cuando entre a vuestro hogar y os empuje? ¿Eh?</t>
  </si>
  <si>
    <t>Lavapiés State of Mind</t>
  </si>
  <si>
    <t>My little novelita: https://tinyurl.com/yavzt2lo Satanista moderado, en @podcastat dicen que sólo quiero ver el mundo arder.</t>
  </si>
  <si>
    <t>http://www.ivoox.com/podcast-aguas-turbias_sq_f1132463_1.html</t>
  </si>
  <si>
    <t>ferrablan</t>
  </si>
  <si>
    <t>Hoy @Santi_ABASCAL ha dado una rueda de prensa y no se ha comido ningún niño ni ha matado a ninguna anciana. A ver si la progresía se confunde...</t>
  </si>
  <si>
    <t>La inteligencia me persigue pero yo corro más. Rammsteiniano y xiaomiadicto. Luchando por la erradicación de la cebolla en nuestra tortilla de patatas.</t>
  </si>
  <si>
    <t>#elintermedio El primer medio de maniPpulacion en entrevistar a la ULTRADERECHA Ñ 🇪🇸 @Santi_ABASCAL @vox_es fué el KKDIARIO de @eduardoinda y después la gilipollas de @anarosaq en @elprogramadear 😠😠😠😠</t>
  </si>
  <si>
    <t>https://pbs.twimg.com/media/DtrtYYQWsBQaALe.jpg</t>
  </si>
  <si>
    <t>Otríadas 🇪🇺</t>
  </si>
  <si>
    <t>Qué cómodo se siente @Santi_ABASCAL en el papel de víctima. Diciendo, que @Pablo_Iglesias_ pretende hacerle vete a saber qué. Llorando por las esquinas. Y cuánta incomodidad le produce ver que la mayor parte de la izquierda no cae en sus provocaciones de parvulario.</t>
  </si>
  <si>
    <t xml:space="preserve">Badajoz </t>
  </si>
  <si>
    <t>Los enemigos no son peligrosos, nuestras debilidades nos amenazan. #UE #Federalismo #MinisterioDeLaMasculinidad #CosiendoElSocialismo #CosiendoHeridasMoradas.</t>
  </si>
  <si>
    <t>Esther</t>
  </si>
  <si>
    <t>Vaya @Santi_ABASCAL todo tiene un porqué. La financiación ilegal también tiene un porqué? Vuestros votantes aman a España o sólo babean con la bandera como perritos ante un hueso? #DocumentalsÀpunt</t>
  </si>
  <si>
    <t>Ninguna</t>
  </si>
  <si>
    <t>Prefiero morir de pie a vivir siempre de rodillas. El fascismo es la más extrema expresión de la subhumanidad. Antifascista aprendiendo a ser humana.</t>
  </si>
  <si>
    <t>Beyoncé 🦐</t>
  </si>
  <si>
    <t>Marta del Castillo, Mari Luz, Diana Quer, las niñas de Alcasser, Gloria Amparo, María José Mateo, Carmen González, María Rafaela, Mar Contreras, Vanesa Santana, Raquel Díez Pérez, Marta Arzamendia, Cristina Marín, y muchas más asesinadas todas por hombres españoles @Santi_ABASCAL RT @Newtral: FACT-CHECK | Santiago Abascal: "Las mujeres asesinadas en España han sido, mayoritariamente, a manos de extranjeros" FALSO❌❌ Toda la información, aquí:</t>
  </si>
  <si>
    <t>https://twitter.com/newtral/status/1070379414276505601
https://newtral.es/fact-check/santiago-abascal-las-mujeres-asesinadas-en-espana-han-sido-mayoritariamente-a-manos-de-extranjeros/</t>
  </si>
  <si>
    <t>https://pbs.twimg.com/media/DtrAZ5YXgAE95ef.jpg</t>
  </si>
  <si>
    <t>a por la tercera república! ataraxia. B 🐝</t>
  </si>
  <si>
    <t>http://beyonce.com</t>
  </si>
  <si>
    <t>Pueblo Originario</t>
  </si>
  <si>
    <t>Cuestionado por el terrorista de ultraizquierda Pablo Iglesias de PODEMOS, de ser VOX un partido de ultraderecha. @PatoBullrich @eugenioburzaco @MinSeg @luispetri @LuisBrodersen @rodrigoboniniok #JuntosPeroNoMezclados #Argentina #Tucuman #Salta #NuevaAndalucia @Santi_ABASCAL RT @jdoedoe101101: Impresionante Vox, el partido de Derecha Liberal de España. Así empezó Santiago Abascal, en 2014, renunció del PP, y sin gente y con un partido nuevo salió a la calle a hacer política. 4 años después son el partido que más parlamentaristas metieron en su primer elección regional.</t>
  </si>
  <si>
    <t>https://twitter.com/jdoedoe101101/status/1070361377041195008</t>
  </si>
  <si>
    <t>https://pbs.twimg.com/media/Dtqv_q5WwAYytsr.jpg</t>
  </si>
  <si>
    <t>Tucumán - Argentina</t>
  </si>
  <si>
    <t>Portal de Difusion de Noticias sobre los Fundadores</t>
  </si>
  <si>
    <t>http://www.pueblooriginario.com.ar</t>
  </si>
  <si>
    <t>rococa</t>
  </si>
  <si>
    <t>Mano dura @Santi_ABASCAL , mano dura y sin arrepentimiento,debemos educar y limpiar RT @Santi_ABASCAL: Después de que hordas comunistas empujadas por Pablo Iglesias aullaran pidiendo descuartizar "a pedazos" a los miembros de VOX, vemos como hay periodistas señalando direcciones y a familiares de candidatos. Tomamos nota. Pero ya advertimos: serán culpables de las consecuencias.</t>
  </si>
  <si>
    <t>😡"Encabronao" por cuatro gilipollas... y así todo</t>
  </si>
  <si>
    <t>#elintermedio He aquí a dos simpáticos NAZIS @Santi_ABASCAL @vox_es y Marine Le Pen de el Frente Nacional Francés "el fascismo sensato, lo llaman en los medios de maniPpulacion de la caverna"💩💩</t>
  </si>
  <si>
    <t>https://pbs.twimg.com/media/DtrsXa9W4AEOXcs.jpg</t>
  </si>
  <si>
    <t>Alitina 🇪🇸 🇻🇪 🇮🇱</t>
  </si>
  <si>
    <t>A los biógrafos de @Santi_ABASCAL y documentaristas sobre VOX y sus miembros.</t>
  </si>
  <si>
    <t>https://pbs.twimg.com/media/Dtrr00xWsAYMiYR.jpg</t>
  </si>
  <si>
    <t>Más comentados hoy en Derecha/Centro Dcha.: ➀ @Santi_ABASCAL ↓ ➁ @ahorapodemos ↑ ➂ @sanchezcastejon ↑ ➃ @vox_es ↑ ➄ @josepramonbosch ↑↑↑ ➅ @Albert_Rivera ↓ ➆ @PPopular ↑ ➇ @juanchoex ↑ ➈ @PSOE ↓ ➉ @ldpsincomplejos ↓</t>
  </si>
  <si>
    <t>https://pbs.twimg.com/media/Dtrrm7CWsAoPawU.jpg</t>
  </si>
  <si>
    <t>MOISES GONZALEZ</t>
  </si>
  <si>
    <t>Él se queda con Santi Abascal y VOX. #NoSeHableMás RT @Albert_Rivera: Nacionalismo y populismo son hoy las mayores amenazas a España y a Europa. Iglesias ataca diariamente a la Constitución y a la Jefatura del Estado. Yo si tengo que escoger entre él o Felipe VI... Qué queréis que os diga 😉 #40AñosDeConstitución</t>
  </si>
  <si>
    <t>https://twitter.com/Albert_Rivera/status/1070425503234961410?s=19</t>
  </si>
  <si>
    <t>pic.twitter.com/hNGxlsIz8P</t>
  </si>
  <si>
    <t>Spandau (Berlin) (DEU)</t>
  </si>
  <si>
    <t>Tinerfeño, expatriado a Berlin. No son tiempos fáciles, pero resisto. Soy la voz de mis ideas.</t>
  </si>
  <si>
    <t>http://meineweltlebenundich.wordpress.com/</t>
  </si>
  <si>
    <t>Más influyentes hoy en Derecha/Centro Dcha.: ➀ @Santi_ABASCAL ↓ ➁ @josepramonbosch ↑↑↑ ➂ @juanchoex ↑ ➃ @ldpsincomplejos ↓↓ ➄ @Miotroyo2parte ↓ ➅ @Albert_Rivera ↓ ➆ @JosPastr ↓ ➇ @Alvisepf ↓ ➈ @javiernegre10 ↑↑↑</t>
  </si>
  <si>
    <t>https://pbs.twimg.com/media/DtrrYcKWwAAxlC6.jpg</t>
  </si>
  <si>
    <t>Sr.Woop</t>
  </si>
  <si>
    <t>Hola @Santi_ABASCAL, @Ortega_Smith y @vox_es tengo una duda sobre vuestro punto 39 de las 100 medidas. Si queréis bajar los impuestos no entiendo el tramo unico del 20% para todas las rentas hasta 60.000 euros, sería una subida en realidad. ¿Lo podéis aclarar? Gracias</t>
  </si>
  <si>
    <t>Cataluña, España</t>
  </si>
  <si>
    <t>Harto de tanta tontería, buenismo, extremismo, populismo, feminazismo y corrección política. Anticomunista y antiPodemos.</t>
  </si>
  <si>
    <t>Albert #PaísValencià</t>
  </si>
  <si>
    <t>Tremendo lo que sugieren Borja Sémper (PP) y el periodista conservador Federico Quevedo sobre @Santi_Abascal en el documental "VOX, la ambición de Santiago Abascal": haciendo gala del peligro terrorista en Euskadi mientras él se marchaba a Madrid. Menudo individuo...</t>
  </si>
  <si>
    <t>València</t>
  </si>
  <si>
    <t>Psicología aldeana. ¿El café? Con poco azúcar. Vamos a por la Tercera.</t>
  </si>
  <si>
    <t>Alberto</t>
  </si>
  <si>
    <t>Como titularías una cena entre Pedro Sánchez, Pablo Casado, Albert Rivera, Pablo Iglesias, Santi Abascal, Echenique, Rufián, Eduardo Inda, Bertin Osborne, Ferreras, Junqueras y Puigdemont? La última cena.</t>
  </si>
  <si>
    <t>Economía y derecho. Me gusta hablar de todo. No intentes etiquetarme 😊</t>
  </si>
  <si>
    <t>RUBÉN ETAYO🍊♿️🏳️‍🌈</t>
  </si>
  <si>
    <t>Pues yo como homosexual no te votaría en la vida @Santi_ABASCAL @vox_es RT @elprogramadear: .@Santi_ABASCAL : "El matrimonio es la unión entre un hombre y una mujer" @vox_es #AbascalAR</t>
  </si>
  <si>
    <t>Pamplona, España</t>
  </si>
  <si>
    <t>DISCAPACITADO. AFIILIADO @CiudadanosCs por @Cs_Navarra_ CASADO CON @Pluckyto2017 . GAY 🌈@Cs_LGTBI #STOPHOMOFOBIA 🍊♿️🏳️‍🌈#NavarraNaranja #EspañaNaranja</t>
  </si>
  <si>
    <t>Laura Vicario</t>
  </si>
  <si>
    <t>Vaaamos @Santi_ABASCAL cogiendo velocidad para las generales!!! 👏🏻👏🏻👏🏻💪🏻🇪🇸 RT @CasoAislado_Es: Se les acabó el chollo a los enchufados por el PSOE. @vox_es pedirá que sean despedidos todos los enchufados en las administraciones públicas andaluzas.</t>
  </si>
  <si>
    <t>https://twitter.com/CasoAislado_Es/status/1070387959290040321
https://casoaislado.com/vox-pedira-despedir-todos-los-enchufados-la-administracion-publica-andaluza-psoe/</t>
  </si>
  <si>
    <t>Respeto es la base del Todo. Siempre adelante, atrás ni para tomar impulso! Soy Española y muy orgullosa de serlo.</t>
  </si>
  <si>
    <t>Cataluña es España #VOXÚtil 12</t>
  </si>
  <si>
    <t>#JaqueAlRégimenDel78 Los mantenido mamelucos @BASURAPROGRE luchando contra la DEMOCRACIA INSTIGADOR EL CHEPAS DEL CHALET DE GALAPAGAR @ Por eso VOTARÉ @vox_es @Santi_ABASCAL y Ortega Lara</t>
  </si>
  <si>
    <t>https://pbs.twimg.com/media/DtrpqtKWwAA1owH.jpg</t>
  </si>
  <si>
    <t>Alucinando con que los troll podemitas gobiernen tuiter, manteniendo terroristas y GOLPISTAS mientras cierran cuentan de patriotas españoles. #DEMOCRACIAenTWya</t>
  </si>
  <si>
    <t>Rogelio Chamorro</t>
  </si>
  <si>
    <t>¿Abascal se ha leído la Constitución? ¿Están dispuestos Ciudadanos y Partido Popular a vender su alma a semejante disparate? Cada vez que habla @Santi_ABASCAL más se parece a Torra y Puigdemont con distinto collar</t>
  </si>
  <si>
    <t>La enseñanza es una vocación que nace de la sed de conocimiento. Profesor novato en estas lides. Andaluz amante de su tierra y de su memoria</t>
  </si>
  <si>
    <t>Santy García</t>
  </si>
  <si>
    <t>Pues a ver cómo se lo explican en el PP a Javier Maroto, o se divorcia o deja el partido ...vamos a retroceder 50 años en derechos....</t>
  </si>
  <si>
    <t>https://shangay.com/2018/12/05/santiago-abascal-sin-mascaras-vox-dice-no-al-matrimonio-gay/</t>
  </si>
  <si>
    <t>Cuenta vinculada a mi Facebook, escribo allí, y se enlaza aqui, no me describo, soy portavoz de mis ideas, no represento a nadie, no me juzgues, yo no lo haría</t>
  </si>
  <si>
    <t>monttse</t>
  </si>
  <si>
    <t>hay muchas cosas de las que propones, @Santi_ABASCAL que no son tratables a nivel autonómico o necesitarían reformas enormes y lo sabes. La admón paralela, la protección al medio rural, la supresión del impuesto de sucesiones, revisar las cuentas de la junta. Con eso ya estaría..</t>
  </si>
  <si>
    <t>Viking Land</t>
  </si>
  <si>
    <t>📚Fotografía, pastelería, antropología y otras tonterías. I ❤️🇳🇴 No autorizo a que se usen uses mis fotos. Un poemita: Dejame tranquilita si eres podemita.</t>
  </si>
  <si>
    <t>https://www.facebook.com/monttseintheliving?ref=bookmarks</t>
  </si>
  <si>
    <t>Más comentados ahora en Derecha/Centro Dcha.: ➀ @Albert_Rivera ↓ ➁ @vox_es ↓ ➂ @InesArrimadas ↓ ➃ @sanchezcastejon ↓ ➄ @ahorapodemos ↓ ➅ @ANDRES_CANO42 ↓ ➆ @ldpsincomplejos ↑ ➇ @manuelvalls ↑ ➈ @Santi_ABASCAL ↓</t>
  </si>
  <si>
    <t>Más influyentes ahora en Derecha/Centro Dcha.: ➀ @Albert_Rivera ↓ ➁ @ANDRES_CANO42 ↑ ➂ @ldpsincomplejos ↑ ➃ @juanchoex ↑ ➄ @JosPastr ↑ ➅ @Santi_ABASCAL ↓ ➆ @josepramonbosch ↓ ➇ @elmundoes ↓ ➈ @javiernegre10 ↓</t>
  </si>
  <si>
    <t>Jose A Reina</t>
  </si>
  <si>
    <t>Las 10 condiciones de @Santi_ABASCAL para negociar con el @ppandaluz y @Cs_Andalucia Vía @La_SER</t>
  </si>
  <si>
    <t>https://pbs.twimg.com/media/Dtrn3TEWsAI6Rq6.jpg</t>
  </si>
  <si>
    <t>Arquitecto Técnico. Estudiando periodismo en la FCom de la US. SER @AndaluciaCentro</t>
  </si>
  <si>
    <t>http://desdelafabrica.wordpress.com</t>
  </si>
  <si>
    <t>Aitor Ugarte</t>
  </si>
  <si>
    <t>Santi Abascal ha dicho mentiras. Muchas. Y me molesta decir esto. Pero vuestro titular es matizable. En torno al 70% de los casos de violencia de género es obra de 'españoles'. La clave es que extranjeros en España son el 10%. Si el 10% hace el 30%, y el 90% el 70%... RT @diariovasco: La primera mentira de @Santi_ABASCAL : la violencia de género es culpa de los extranjeros ⬇</t>
  </si>
  <si>
    <t>https://twitter.com/diariovasco/status/1070412492902404097
http://dozz.es/dpgza4</t>
  </si>
  <si>
    <t>#Periodista y consultor de #comunicación. Socio fundador de @comunideas_. #Baloncesto, I love this game</t>
  </si>
  <si>
    <t>http://www.comunideas.com</t>
  </si>
  <si>
    <t>Antº José Candel🇪🇸</t>
  </si>
  <si>
    <t>En el editorial de esta semana hablo (y escribo) del binomio Morante - @Santi_ABASCAL Ellos han decidido apostar, sin complejos, por la Tauromaquia y el torero dejar su zona de confort para defender el futuro de la fiesta que, quizás, pase por @vox_es 👇🏼</t>
  </si>
  <si>
    <t>http://www.tendidodesol.com/post/4546/el-editorial-de-antonio-jose-candel-en-esradio</t>
  </si>
  <si>
    <t>https://pbs.twimg.com/media/Dtrny1qWsAMIQfW.jpg</t>
  </si>
  <si>
    <t>Periodista | «Dignidad y lealtad» | Máster en Comunicación Corporativa e Institucional @uc3m | Director de @Tendido_de_Sol en @murciaesradio</t>
  </si>
  <si>
    <t>http://www.tendidodesol.com</t>
  </si>
  <si>
    <t>zemogj de Tabarnia</t>
  </si>
  <si>
    <t>Me parece perfecto señores de @TwitterEspana que cierren el perfil de Santi Abascal, pero que me dicen del de @nuriadgc @quimtorra @krls @tonialba @gabrielrufian estos también generan odio @carlesenric @cronicaglobal @Societatcc @InesArrimadas @jordi_canyas @okdiario</t>
  </si>
  <si>
    <t>vivo en una sociedad catalana enferma sin Libertad de pensamiento. bloqueado x @krls @quimtorraipla @martarovira @raholapilar @junquera</t>
  </si>
  <si>
    <t>De castro</t>
  </si>
  <si>
    <t>Esta es la carta, con la que amenazaban al padre de @Santi_ABASCAL ,los que hoy son los socios de @sanchezcastejon y el caudillo @Pablo_Iglesias_ , para cobrar el impuesto revolucionario de ETA, ahora piensen quienes son los ultras y los fascistas @unchinodechina .</t>
  </si>
  <si>
    <t>https://pbs.twimg.com/media/DtrniN2WkAAVTXh.jpg</t>
  </si>
  <si>
    <t>EXMILITAR DE INFANTERIA DE MARINA.ESPAÑOL, SOCIALDEMOCRATA.Nieto e hijo de presos y perseguidos por el franquismo.</t>
  </si>
  <si>
    <t>۞ Estrella Tartéssica ۞</t>
  </si>
  <si>
    <t>Por supuesto, a partir de hoy todo el mundo tiene que llamar #Morenazi al degenerado de @Santi_ABASCAL 😂😂😂😂😂😂😂😂😂😂 P.D.: Gracias @eljueves, de lo mejor que he visto en mucho tiempo... 😂😂😂😂😂</t>
  </si>
  <si>
    <t>https://pbs.twimg.com/media/Dtrngk5WsAQ1aJf.jpg</t>
  </si>
  <si>
    <t>Si no eres antifascista eres fascista, y si eres fascista eres terrorista.</t>
  </si>
  <si>
    <t>PRESIDENTE DE LA ESCALERA</t>
  </si>
  <si>
    <t>Hitler tenía a su servicio a las SS. Santiago Abascal @Santi_ABASCAL formará un ejército con seguratas. #VOX</t>
  </si>
  <si>
    <t>Presidiendo mi comunidad de vecinos desde 1974.</t>
  </si>
  <si>
    <t>🇪🇸👣Modo: Jurista-Criminólogo👣🇪🇸</t>
  </si>
  <si>
    <t>Pregúntale a los amiguetes de @canalsur y de la Junta de Andalucía @Santi_ABASCAL preguntales también por las puertas giratorias y por las licencias, pregunta porfa, un andaluz desencantado de promesas vanas que no tiene ni usa amiguetes. RT @vox_es: 🚨 Rueda de prensa de @Santi_ABASCAL ⤵ 🗨 "Queremos reformar el Estatuto andaluz para que esta comunidad sea pionera en devolver competencias". 🗨 "No tenemos voluntad de entrar en el Gobierno, no queremos consejerías, ni sillones, ni presidir el Parlamento".</t>
  </si>
  <si>
    <t>Planeta Tierra</t>
  </si>
  <si>
    <t>El cobarde, por naturaleza o por conveniencia, no representa jamás al “caballero del Derecho” ni al “luchador por la Justicia”. De nada serviría a la sociedad</t>
  </si>
  <si>
    <t>http://www.pinchitoandaluz.blog</t>
  </si>
  <si>
    <t>Mejor Hay un animal que cuando se ve atacado por la anaconda se hincha y cuando esta aprieta suelta el aire de golpe rompiéndole la columna vertebrar Mientras @Santi_ABASCAL mantenga los principios claros ganará por honestidad 😉 RT @Iubichris: @doguionrego @vox_es Queda claro que los van a intentar atacar, hasta por el color de los calzoncillos.</t>
  </si>
  <si>
    <t>https://twitter.com/Iubichris/status/1070418146455142400</t>
  </si>
  <si>
    <t>Santiago @Santi_ABASCAL lleva pistola, aparte de tener licencia de armas, por cargo público amenazado por ETA toda la vida, él y su padre, para defender a su familia de gentuza como tú. Algo que tú Echetrinque nunca entenderás. Igual tu jefe si...</t>
  </si>
  <si>
    <t>Euge</t>
  </si>
  <si>
    <t>Gracias al legislador la Constitución Española NUNCA ha dicho tal cosa. Así que vuelve a tu cueva @Santi_ABASCAL RT @elprogramadear: .@Santi_ABASCAL : "El matrimonio es la unión entre un hombre y una mujer" @vox_es #AbascalAR</t>
  </si>
  <si>
    <t>Granada-Almería. 🇪🇸</t>
  </si>
  <si>
    <t>23. Ciencias Políticas y Derecho en la UGR. Regionalista almeriense. Cinéfilo. Elefantes. Draco dormiens nunquam titillandus</t>
  </si>
  <si>
    <t>https://Instagram.com/dreuuge/</t>
  </si>
  <si>
    <t>MENUDA SORPRESA SE VA A LLEVAR EL QUE NO PERMITE QUE SE PUEDA ESTUDIAR SÓLO EN ESPAÑOL Feijóo dice que VOX "no tiene cabida en Galicia"- Libertad Digital | Versión Móvil (mobile)  @Santi_ABASCAL @monasterioR @CasaReal @GeneralDavila @Ortega_Smith</t>
  </si>
  <si>
    <t>https://www.libertaddigital.com/espana/2018-12-05/feijoo-vox-no-tiene-cabida-en-galicia-1276629430/</t>
  </si>
  <si>
    <t>📰 Entrevista a @Santi_ABASCAL "Sánchez no dura ni un minuto en La Moncloa si adelanta las elecciones"  vía @ABCespana @abc_es</t>
  </si>
  <si>
    <t>https://www.abc.es/espana/abci-santiago-abascal-sanchez-no-dura-minuto-moncloa-si-adelanta-elecciones-201812042205_noticia.html#ns_campaign=amp-rrss-inducido&amp;ns_mchannel=abc-es&amp;ns_source=tw&amp;ns_linkname=noticia.video&amp;ns_fee=0</t>
  </si>
  <si>
    <t>Casimiro</t>
  </si>
  <si>
    <t>El mejor tuit del día, sin duda alguna. cc: @Santi_ABASCAL @vox_es #40añosdeConstitución RT @franio_: @Mazzinguerzett1 @Casimiro_Ig Olé tu coño. Fdo: un marica andaluz que le ha prestado el voto a Vox gracias a Podemos.</t>
  </si>
  <si>
    <t>https://twitter.com/franio_/status/1070395623726333952</t>
  </si>
  <si>
    <t>Sólo estaba mirando</t>
  </si>
  <si>
    <t>Bruno Carretero</t>
  </si>
  <si>
    <t>Sociedad En Italia #Salvini y la #Lega En España @Santi_ABASCAL y @vox_es #FascismoNuncaMas #umbertoeco</t>
  </si>
  <si>
    <t>https://pbs.twimg.com/media/DtrjMlIXcAEJir8.jpg</t>
  </si>
  <si>
    <t>+2Arquitectura-Madrid (Spain)</t>
  </si>
  <si>
    <t>Il problema e avere occhi e non saper vedere Patrizio Barbaro</t>
  </si>
  <si>
    <t>Entrevista con Santi_ABASCAL , presidente de VOX ▶ «Vamos a los Parlamentos autonómicos para devolver competencias al Estado»</t>
  </si>
  <si>
    <t>http://lavoz.gal/aatkt2</t>
  </si>
  <si>
    <t>español</t>
  </si>
  <si>
    <t>Carta recibida de ETA Santi Abascal,y todavía dicen q es anticonstitucional?.</t>
  </si>
  <si>
    <t>https://pbs.twimg.com/media/Dtrh3yvWwAAto2V.jpg</t>
  </si>
  <si>
    <t>Español 100x100 y odiando todo aquello q perjudica a España,y España para los españoles.</t>
  </si>
  <si>
    <t>Chandler⚽️</t>
  </si>
  <si>
    <t>Vaya si se ha venido arriba el tal Santi Abascal aún sin gobernar. Menudo rebaño le rodea marcados con su banderita en el perfil. #voxmitivos es poco.</t>
  </si>
  <si>
    <t>Tuve la suerte de ver jugar a Doncic, a Bale cogiendo un avión delante de Bartra y al Madrid ganar 3 Champions seguidas. ⚽️,🏀, 🎬, series y mucho más.</t>
  </si>
  <si>
    <t>Angel Salas</t>
  </si>
  <si>
    <t>Usted @Santi_ABASCAL puede tener claro, que es persona No Grata, por aquí abajo, al menos para el resto de los casi 400.000 que no le hemos votado. Si mi abuelos (que en paz descansen) le escucharan, le podían dos cositas. RT @El_Plural: Santiago Abascal eleva su tono contra las autonomías y la descentralización, entre otras propuestas</t>
  </si>
  <si>
    <t>https://twitter.com/El_Plural/status/1070367176169848833</t>
  </si>
  <si>
    <t>pic.twitter.com/vlbeSSofLC</t>
  </si>
  <si>
    <t>Con respeto y vergüenza se llega a todos los sitios con groserías y mala educación no se llega a ningún lado.</t>
  </si>
  <si>
    <t>Carlos Eliseo M S</t>
  </si>
  <si>
    <t>Pues la pelota la puesto @vox_es en el tejado de @PPopular y @CiudadanosCs de momento @Santi_ABASCAL tirando del carro en #Andalucia #QuienMeLoIbaADecir</t>
  </si>
  <si>
    <t>El Picazo (Cu)</t>
  </si>
  <si>
    <t>ADICTO AL DEPORTE // ESPAÑA</t>
  </si>
  <si>
    <t>Muy bien =&gt; @Santi_ABASCAL , merecido triunfo y está comenzando ¡ RT @jdoedoe101101: Impresionante Vox, el partido de Derecha Liberal de España. Así empezó Santiago Abascal, en 2014, renunció del PP, y sin gente y con un partido nuevo salió a la calle a hacer política. 4 años después son el partido que más parlamentaristas metieron en su primer elección regional.</t>
  </si>
  <si>
    <t>La Voz de Galicia</t>
  </si>
  <si>
    <t>Entrevista con @Santi_ABASCAL , presidente de VOX ▶ «Vamos a los Parlamentos autonómicos para devolver competencias al Estado»</t>
  </si>
  <si>
    <t>Galicia | España</t>
  </si>
  <si>
    <t>136 años informando • Facebook http://lavoz.gal/vdpbv • Instagram http://lavoz.gal/jt60r</t>
  </si>
  <si>
    <t>http://lavozdegalicia.es</t>
  </si>
  <si>
    <t>Cañailla</t>
  </si>
  <si>
    <t>Con lo que nos costó la conseguir la Autonomía en Andalucía, ahora llega un tiparraco del norte y quiere eliminarla. Comienza por poner orden en tu región y luego en otro sitio. @Santi_ABASCAL. Inténtalo a ver si lo consigues.</t>
  </si>
  <si>
    <t>《En cada hombre hay una doble personalidad: la propia y la que aparenta.》 《La fuerza del hombre no está en sus puños, sino en la moral de sus actos.》</t>
  </si>
  <si>
    <t>Señor Pingüino</t>
  </si>
  <si>
    <t>Hola, @Santi_ABASCAL. RT @protestona1: VOX inventa problemas que no existen para ofrecer soluciones innecesarias. El mito de las falsas denuncias de las terribles hordas feminazis. Populismo. #AbascalAR</t>
  </si>
  <si>
    <t>https://twitter.com/protestona1/status/1070262012209520645</t>
  </si>
  <si>
    <t>https://pbs.twimg.com/media/DtpVn2DXcAI-u0y.jpg</t>
  </si>
  <si>
    <t>Alicante, Comunidad Valenciana</t>
  </si>
  <si>
    <t>Debería ir a terapia para aprender a controlar mi ira.</t>
  </si>
  <si>
    <t>TheWorld</t>
  </si>
  <si>
    <t>Estas son las “manifestaciones pacíficas” de las que @ierrejon @Pablo_Iglesias_ y @susanadiaz son responsables!!! España quiere y pide cambio! @vox_es @Santi_ABASCAL por España! #40AñosDeConstitución #España #Vox</t>
  </si>
  <si>
    <t>https://pbs.twimg.com/media/DtrglhTWsAIHegq.jpg</t>
  </si>
  <si>
    <t>OBJETIVIDAD PARA EL MUNDO</t>
  </si>
  <si>
    <t>Mi menda</t>
  </si>
  <si>
    <t>Lo que estoy deseando es ver un debate entre los 4 partidos principales y Voz, porque la tienda dialéctica y argumental que le puede dar @Santi_ABASCAL a todos los demás es de aúpa... #VOX</t>
  </si>
  <si>
    <t>Liberal y, sobre todo, antipopulista. Debato con todos aunque se que a la merma no se la convence, seré masoca...</t>
  </si>
  <si>
    <t>Mikel</t>
  </si>
  <si>
    <t>Hay que ser como @Santi_ABASCAL . No haber cotizado en su puta vida y haber cobrado dinero por todos los lados.</t>
  </si>
  <si>
    <t xml:space="preserve">Euskal Herria </t>
  </si>
  <si>
    <t>Success is dependent on effort</t>
  </si>
  <si>
    <t>María Pilar Catalán</t>
  </si>
  <si>
    <t>En @telecincoes cada vez que hablan de @vox_es sacan a @Santi_ABASCAL diciendo "Viva España" para que quede bien claro que es un ultra, oye!</t>
  </si>
  <si>
    <t>Dos tuits para lelos se juntan en tuiter (@MGaussage)</t>
  </si>
  <si>
    <t>Chankete 🇪🇸</t>
  </si>
  <si>
    <t>Payaso Santi Abascal ha estado amenazado de muerte y en el punto de mira d la banda asesina d inocentes ETA. Y en España hay miles d personas con pistolas para DEFENDER sus vidas. y ha estado con escolta, etc.Y lávate la boca antes d criticar a las victimas de ETA. Desfraudador RT @libertaddigital: Echenique critica a Santiago Abascal por "jactarse de llevar pistola"</t>
  </si>
  <si>
    <t>https://twitter.com/libertaddigital/status/1070377491603193856
http://dlvr.it/QsvgfM</t>
  </si>
  <si>
    <t>Antonio</t>
  </si>
  <si>
    <t>Mediaset ha bloqueado en Youtube el vídeo de la entrevista de Santi Abascal de esta mañana. En pocas horas más de 17000 reproducción. Están acojonados con el tirón de Vox. Vamos bien.</t>
  </si>
  <si>
    <t>Michel M</t>
  </si>
  <si>
    <t>La entrevista completa de @Santi_Abascal, líder de @Vox_es  via @telecincoes</t>
  </si>
  <si>
    <t xml:space="preserve">Manchester/Madrid </t>
  </si>
  <si>
    <t>Former tax man/teacher/DJ/journalist...non pro film director/editor/writer/.., film&amp;tennis lover...a bit Jack of all trades! Civil Eng again! Always learning ;)</t>
  </si>
  <si>
    <t>Bueno que lo digan los gallegos en las urnas. Temen a VOX? El PP Y su corrupción hizo presidente a Sánchez y vice presidente en función Pato de la coleta Iglesias. Vergüenza. Viva VOX. @FJL_EsRadio @Ortega_Smith @Santi_ABASCAL @monasterioR VIVA VOX RT @libertaddigital: Feijóo dice que VOX "no tiene cabida en Galicia"</t>
  </si>
  <si>
    <t>MonicaRotllan 🐾🐾</t>
  </si>
  <si>
    <t>Son los únicos dirigentes políticos DEMOCRÁTICOS con cojones. Lo que diferencia a Santi Abascal de todo el resto es que él tiene el sueńo de cambiar Espańa. RT @vox_es: 🚨 Rueda de prensa de @Santi_ABASCAL ⤵ 🗨 "Queremos reformar el Estatuto andaluz para que esta comunidad sea pionera en devolver competencias". 🗨 "No tenemos voluntad de entrar en el Gobierno, no queremos consejerías, ni sillones, ni presidir el Parlamento".</t>
  </si>
  <si>
    <t>If it is not right do not do it; if it is not true do not say it. Marcus Aurelius</t>
  </si>
  <si>
    <t>isiwi de pauliwi</t>
  </si>
  <si>
    <t>Me encantaría ver un debate entre @Bewaswerebeen_ y Santi Abascal os lo juro</t>
  </si>
  <si>
    <t>Calma na alma</t>
  </si>
  <si>
    <t>atitude acima de tudo. sk8 (♀)</t>
  </si>
  <si>
    <t>Californication.</t>
  </si>
  <si>
    <t>Oye @Santi_ABASCAL pide de paso que reúnan las bolas de dragón y resuciten a Franco 😘</t>
  </si>
  <si>
    <t>https://pbs.twimg.com/media/DtrenrzX4AEqHHy.jpg</t>
  </si>
  <si>
    <t>Haciendo cosquillas a @MarinaSailEver.</t>
  </si>
  <si>
    <t>El arte robó mi virginidad. VII</t>
  </si>
  <si>
    <t>El Diario Vasco</t>
  </si>
  <si>
    <t>La primera mentira de @Santi_ABASCAL : la violencia de género es culpa de los extranjeros ⬇</t>
  </si>
  <si>
    <t>http://dozz.es/dpgza4</t>
  </si>
  <si>
    <t>San Sebastian Spain</t>
  </si>
  <si>
    <t>Información de última hora y noticias de cultura, deportes, tecnología, televisión...y toda la actualidad de Gipuzkoa, Real Sociedad, Gipuzkoa Basket y SD Eibar</t>
  </si>
  <si>
    <t>http://www.diariovasco.com</t>
  </si>
  <si>
    <t>Frente Atlético Por Siempre</t>
  </si>
  <si>
    <t>Esto no lo denuncia nadie @vox_es @Santi_ABASCAL RT @abc_es: Un camión de obra se lleva documentos de la Junta de Andalucía en Cádiz</t>
  </si>
  <si>
    <t>https://twitter.com/abc_es/status/1070386070154547205
http://ver.abc.es/a9g6i2</t>
  </si>
  <si>
    <t>XXVI años,seguidor del Atlético de Madrid desde pequeñito.Ve como el mundo realmente está desolado.Políticamente Incorrect⊕.</t>
  </si>
  <si>
    <t>Terciosviejos🇪🇸 VOX</t>
  </si>
  <si>
    <t>La demagogia de @anarosaq frente a la sobriedad y claridad de @Santi_ABASCAL</t>
  </si>
  <si>
    <t>Toledo, España</t>
  </si>
  <si>
    <t>“Por España y el que quiera defenderla, honrado muera. Y el que traidor la abandone, no tenga quien le perdone, ni en tierra santa cobijo.</t>
  </si>
  <si>
    <t>Relación entre conceptos en este tuit 0, a no ser que Vox, sus miembros o el mismo @Santi_ABASCAL, fueran partícipes de la muerte de Lorca, el franquismo o cualquier giliflautez que se os ocurra. RT @inmobilouis: tenéis los santísimos cojones de usar un verso de lorca os partía la cabeza en ocho</t>
  </si>
  <si>
    <t>https://twitter.com/inmobilouis/status/1070084039493734403
https://twitter.com/vox_es/status/1069720642910609408</t>
  </si>
  <si>
    <t>📣 @pnique Le responde @Santi_ABASCAL después de culpar de las movilización estudiantil a @Pablo_Iglesias_ " Abascal es como Torrente da risa y miedo a la vez" 🤣🤣 #FrenarElFascismo</t>
  </si>
  <si>
    <t>pic.twitter.com/GSXciE7LVd</t>
  </si>
  <si>
    <t>Siempre López   🇪🇸🇪🇸</t>
  </si>
  <si>
    <t>Mientras las huestes podemitas azuzadas por el Marqués de Galapagar salen a las calles., @vox_es trabaja en segundo plano para avanzar en las próximas elecciones. A cada tweet de @pnique o @Pablo_Iglesias_, 10000 votos más para @Santi_ABASCAL</t>
  </si>
  <si>
    <t>PMI-BIO 🛫🛬 y viceversa. 🇪🇸</t>
  </si>
  <si>
    <t>Orgulloso de ser Español</t>
  </si>
  <si>
    <t>Buttercup Green 💚🍏🐍</t>
  </si>
  <si>
    <t>Feminismo es un movimiento que exige que hombres y mujeres tengan los mismos derechos. Señor @Santi_ABASCAL le recomiendo que actualice su vocabulario. Gracias de antemano.</t>
  </si>
  <si>
    <t>https://pbs.twimg.com/media/Dtrbm9wXQAUUqNz.jpg</t>
  </si>
  <si>
    <t>A Estrada, España</t>
  </si>
  <si>
    <t>Amante de la música y del cine. Músico en proceso</t>
  </si>
  <si>
    <t>http://www.westerosofwinterfell.foroactivo.com</t>
  </si>
  <si>
    <t>Bosco Guerrero ®</t>
  </si>
  <si>
    <t>Cuando alguien hace las cosas mejor q otro(el caso de @Santi_ABASCAL con @vox_es ) es cuando peor hablan de uno. No conozco personalmente a Santi,pero debe ser un tipazo,al menos habla claro cosa que pocos hacen. ¡Suerte! Pronto le quitáis el puesto a @sanchezcastejon q no merece</t>
  </si>
  <si>
    <t>Jerez - Madrid</t>
  </si>
  <si>
    <t>De Jerez, afincado en Madrid... Aficionado al toro, al caballo, a la caza y a la comunicación. Instagram:GuerreroBosco</t>
  </si>
  <si>
    <t>penolopeenmadrid</t>
  </si>
  <si>
    <t>Tiene mucho sentido que @Albert_Rivera quiera contar con @Vox en los pactos en Andalucía y toda España, a fin de cuentas @CiudadanosCs es un partido de extrema derecha y @santi_Abascal y Rivera dos ultras filo terroristas.</t>
  </si>
  <si>
    <t>https://www.publico.es/politica/rivera-considera-irresponsable-descartar-vox-escenarios-pacto-andalucia.html</t>
  </si>
  <si>
    <t>No a la represión y la dictadura del PP</t>
  </si>
  <si>
    <t>Luna</t>
  </si>
  <si>
    <t>.@Santi_ABASCAL de .@vox_es 🇪🇸 vs okusánchez @sanchezcastejon de @PSOE 😄🤭🤣 Felicitaciones, Sr. Abascal 😊❤💛❤👏🏻👏🏻👏🏻</t>
  </si>
  <si>
    <t>pic.twitter.com/qmyLLOTUo1</t>
  </si>
  <si>
    <t>Madrid (España)</t>
  </si>
  <si>
    <t>Mi familia, mis amigos, un libro, soñar, el otoño, el alma solidaria, las sonrisas, las flores, vivir el HOY... y mi Murcia y mi Madrid del alma.</t>
  </si>
  <si>
    <t>MIRAD LOS CONSTITUNALISTAS... @FSerranoCastro @VOX_CADIZ @vox_es @Santi_ABASCAL RT @LaVozdeCadiz: Un camión de obra se lleva documentos de la Junta de Andalucía en Cádiz  #Cádíazhoy #Andalucíahoy</t>
  </si>
  <si>
    <t>https://twitter.com/LaVozdeCadiz/status/1070392452366897153
http://ow.ly/2NoD30mSpFL</t>
  </si>
  <si>
    <t>MEDITERRÁNEO DIGITAL</t>
  </si>
  <si>
    <t>🇪🇸 VOX [@vox_es] exige devolver Sanidad y Educación al Estado: 'La única nación en España' @Santi_ABASCAL</t>
  </si>
  <si>
    <t>https://www.mediterraneodigital.com/espana/politica/vox-exige-devolver-sanidad-y-educacion-al-estado-la-unica-nacion-en-espana.html</t>
  </si>
  <si>
    <t>Políticamente Incorrecto. https://www.fb.com/MediterraneoDigital</t>
  </si>
  <si>
    <t>http://www.mediterraneodigital.com</t>
  </si>
  <si>
    <t>EXpidelman</t>
  </si>
  <si>
    <t>#FrenarElFascismo @Santi_ABASCAL muy indignado con los que le acusan de ser un NEONAZI. "QUE RETIREN INMEDIATAMENTE LO DE 'NEO'." Ha exigido.</t>
  </si>
  <si>
    <t xml:space="preserve"> .... </t>
  </si>
  <si>
    <t>y Franco ¿que opima de esto?</t>
  </si>
  <si>
    <t>http://jupodino.blogspot.com.es</t>
  </si>
  <si>
    <t>Más votos para VOX!! @Santi_ABASCAL te están allanando el camino. RT @okdiario: C’s amenaza con nuevas elecciones en Andalucía porque no quiere que el ‘popular’ Moreno sea presidente</t>
  </si>
  <si>
    <t>https://twitter.com/okdiario/status/1070404817271562241
https://okdiario.com/espana/andalucia/2018/12/05/cs-amenaza-nuevas-elecciones-andalucia-porque-no-quiere-que-popular-moreno-sea-presidente-3432237?utm_term=Autofeed&amp;utm_campaign=ok&amp;utm_medium=Social&amp;utm_source=Twitter#Echobox=1544039369</t>
  </si>
  <si>
    <t>Más influyentes ahora en Derecha/Centro Dcha.: ➀ @Albert_Rivera ↑↑ ➁ @juanchoex ↓ ➂ @ANDRES_CANO42 ↑ ➃ @GirautaOficial ↑↑ ➄ @CiudadanosCs ↑↑ ➅ @ldpsincomplejos ↓ ➆ @josepramonbosch ↓ ➇ @JosPastr ↓ ➈ @Santi_ABASCAL</t>
  </si>
  <si>
    <t>Carmen Benavides</t>
  </si>
  <si>
    <t>Aquí va la postura del @ppandaluz. Qué la polémica es artificial, creada por el @psoedeandalucia y que quieren otro modelo de gestión. Vale... Pero qué hay de lo de @Santi_ABASCAL? Qué no? O que ya veremos? Ni lo nombran. @AgrupacionCS</t>
  </si>
  <si>
    <t>https://pbs.twimg.com/media/DtrZkfJW4AAwrXD.jpg</t>
  </si>
  <si>
    <t>Espartinas, Sevilla, España</t>
  </si>
  <si>
    <t>Periodista. Trabajo en @CanalSur</t>
  </si>
  <si>
    <t>http://www.spandalucia.com</t>
  </si>
  <si>
    <t>Rubén Sánchez</t>
  </si>
  <si>
    <t>Cuando destapas las mentiras que hay tras su odio, la ultraderecha no se atreve a contestar con argumentos. El líder de VOX @Santi_Abascal huye del debate y se esconde tras un bloqueo.</t>
  </si>
  <si>
    <t>https://pbs.twimg.com/media/DtrY1d9W4AEUSCi.jpg</t>
  </si>
  <si>
    <t>En ocasiones veo fraudes.</t>
  </si>
  <si>
    <t>http://rubensanchez.tw</t>
  </si>
  <si>
    <t>Juan juanito juan</t>
  </si>
  <si>
    <t>Soy uno de esos 400000 andaluces que un día votaron a psoe y en estas últimas elecciones si fuy a votar pero vote a @vox_es me convencen sus ideas no todas pero si la mayoría y @Santi_ABASCAL me parece que sería un buen presidente para este país</t>
  </si>
  <si>
    <t>Buscador de verdades.</t>
  </si>
  <si>
    <t>Punisher</t>
  </si>
  <si>
    <t>Cuando santi abascal era amenazado de muerte por su condicion politica en el pais vasco,esto seguro que elpais y compañia ni lo publicaran</t>
  </si>
  <si>
    <t>Carentan, France</t>
  </si>
  <si>
    <t>bidal</t>
  </si>
  <si>
    <t>Estaba Santi Abascal ao timón? RT @UKDefJournal: A Spanish warship has illegally sailed through the waters of the British territory of Gibraltar, blasting the Spanish national anthem on loudspeakers.</t>
  </si>
  <si>
    <t>https://twitter.com/UKDefJournal/status/1069961316738174979
https://ukdefencejournal.org.uk/spanish-ship-sails-through-gibraltar-waters-playing-spanish-anthem/</t>
  </si>
  <si>
    <t>Deportivista, sin segundo equipo. Estudio para meterlle a man no cu ás vacas. Belieber, Directioner, Abrahamer, Auryner, Gemelier e Daruder.</t>
  </si>
  <si>
    <t>http://instagram.com/bidal_</t>
  </si>
  <si>
    <t>Eros Camacho</t>
  </si>
  <si>
    <t>Paso n°1: Tener un programa electoral totalmente populista. Votos fáciles. Paso n° 2: Cerrar o controlar los medios de comunicación para utilizarlos a tu favor. Paso n° 3: ... La historia se repite. Te suena de algo @Santi_ABASCAL?</t>
  </si>
  <si>
    <t>El futuro pertenece a quienes creen en la belleza de sus sueños. Fisico a jornada completa.</t>
  </si>
  <si>
    <t>Juanra</t>
  </si>
  <si>
    <t>Merece la pena cada uno de los minutos de la duración de la rueda de prensa. Olé @Santi_ABASCAL RT @vox_es: 📹 Rueda de prensa completa:</t>
  </si>
  <si>
    <t>https://twitter.com/vox_es/status/1070393831089233921
https://www.youtube.com/watch?v=BoV99TEbq9s</t>
  </si>
  <si>
    <t>España y los españoles en primer lugar. En defensa de nuestra bandera 🇪🇸</t>
  </si>
  <si>
    <t>Pedro M. Diaz</t>
  </si>
  <si>
    <t>Sr. @Santi_ABASCAL ¿ Como piensa llevar acabo sus medidas en andalucía cuando muchas de ellas estan blindadas por el estatuto de autonomía ? 🤔🤔 @antoninodiaz @VOXSevilla @vox_es</t>
  </si>
  <si>
    <t>La amistad duplica nuestras alegrías y divide nuestra tristeza. Y sobre todo bético</t>
  </si>
  <si>
    <t>despacito @Santi_ABASCAL que se asustan los podemitas RT @A3Noticias: VIDEO | Abascal expone las condiciones de Vox para empezar a negociar con PP y Ciudadanos en Andalucía, como el cierre de Canal Sur y devolver las competencias de Sanidad y Educación al Estado ▶</t>
  </si>
  <si>
    <t>https://twitter.com/A3Noticias/status/1070392471081938944
http://atres.red/ptfpi1</t>
  </si>
  <si>
    <t>🇪🇸Frank Garcia🇪🇸</t>
  </si>
  <si>
    <t>Grande santi Abascal 👏👏👏 RT @VOXSevilla: No hay nada en sus palabras que no tengan lógica ni sentido. Es la coherencia personificada. Entrevista completa de hoy a @Santi_ABASCAL por #AnaRosaQuintana en #TeleCinco @vox_es 🇪🇸</t>
  </si>
  <si>
    <t>https://twitter.com/voxsevilla/status/1070293818023522304
https://m.youtube.com/watch?v=8vcB-oJ5_c0&amp;feature=youtu.be</t>
  </si>
  <si>
    <t>Madrid - España</t>
  </si>
  <si>
    <t>Comunicaciones y Electricidad</t>
  </si>
  <si>
    <t>http://www.18tattoos.wordpress.com</t>
  </si>
  <si>
    <t>Juanma de la Poza</t>
  </si>
  <si>
    <t>Gracias a @vox_es y @Santi_ABASCAL vamos a tener una planificación económica en España como Dios manda. #VOX #VOXAvanza #VOXÚtil #VOXExtremaNecesidad #VOXLaEspañaViva #VivaVOX #VivaEspaña RT @vox_es: 💰 El plan económico de VOX para España: desalojo inmediato de okupas, IRPF único del 20%, pensiones mixtas...  vía @libre_mercado @libertaddigital</t>
  </si>
  <si>
    <t>https://twitter.com/vox_es/status/1070339601183752194
https://www.libremercado.com/2018-12-05/el-plan-economico-de-vox-para-espana-desalojo-inmediato-de-okupas-irpf-unico-del-20-pensiones-mixtas-1276629399/</t>
  </si>
  <si>
    <t>Madridista hasta la médula, marvelita de pro y cinéfilo empedernido. Llevo al Real Madrid en la sangre, adoro los cómics de Marvel y me encantan las películas.</t>
  </si>
  <si>
    <t>Oye,@Santi_ABASCAL, te dejo chupar mi huevo izquierdo, maricón. Que te hagan un test de ADN, joputa, que tienes una cara de moro que te cagas.</t>
  </si>
  <si>
    <t>Los Tiempos han Cambiado</t>
  </si>
  <si>
    <t>"La política es una guerra para defender tus ideas" - @Santi_ABASCAL Jamás había oído tal definición de lo que es la política, en boca de una persona que se dedica a la política. Un gran aplauso para él. @vox_es Gracias</t>
  </si>
  <si>
    <t>pic.twitter.com/oEd1e9fp2a</t>
  </si>
  <si>
    <t>La sociedad se ha vuelto loca. Ahora necesitamos orden y disciplina. ¡Los Tiempos han Cambiado! PD: Si no te gusta lo que digo, NO ME SIGAS</t>
  </si>
  <si>
    <t>Pati🇪🇸</t>
  </si>
  <si>
    <t>Ana Rosa le ha hecho una entrevista mala, mala y mala. Es fantástico @Santi_ABASCAL</t>
  </si>
  <si>
    <t>https://www.youtube.com/watch?v=EdpZF3nLMF8&amp;lc=z23hvb5gav2by5qlgacdp433nnmhfjemukp21pcd5otw03c010c</t>
  </si>
  <si>
    <t>España  +=+= 🇪🇸🇪🇸🇪🇸🇪🇸</t>
  </si>
  <si>
    <t>Libertad, libertad y libertad. Tabarnesa de corazón. WHIP. VERDE</t>
  </si>
  <si>
    <t>Daniel Ari</t>
  </si>
  <si>
    <t>Acabo de ver la entrevista a Santiago Abascal. El nivel de sensiblería y demagogia barata de Ana Rosa es de traca. Y mientras le pregunta "cositas" y Santi responde, el 70% de la pantalla la ocupan imágenes de Franco con el brazo en alto o imágenes en bucle de</t>
  </si>
  <si>
    <t>Baden-Württemberg</t>
  </si>
  <si>
    <t>La mitad de las mentiras que se cuentan sobre mí no son verdad | De vez en cuando se me puede leer en El Medio y LibertadDigital | Alérgico a los gifs</t>
  </si>
  <si>
    <t>Dice @_anapastor_ que @Santi_ABASCAL miente porque "solo" el 30% de asesinatos a mujeres los han comedido inmigrantes. Pues hombre, teniendo en cuenta que hay 4 millones de inmigrantes y 40 millones de Españoles me sale que un 10% de hombres está matando al 30% de mujeres.</t>
  </si>
  <si>
    <t>https://pbs.twimg.com/media/DtrVYS2WwAAIyBe.jpg</t>
  </si>
  <si>
    <t>📛📛📛📛📛📛¡ATENCIÓN A LO QUE HACE LA MUGRE PATÉTICA ROJA! ¿ESTOS SE PIENSAN QUE SOMOS TONTOS O HAN COMIDO MIERDA DE GATO? ¡QUÉ PACIENCIA DIOS! PERO TAMBIÉN SE ACABA ¿EH? @vox_es @Santi_ABASCAL @policia @guardiacivil @GDTGuardiaCivil</t>
  </si>
  <si>
    <t>https://pbs.twimg.com/media/DtrUmV0XgAgGSgp.jpg</t>
  </si>
  <si>
    <t>Los Payasos Justicieros</t>
  </si>
  <si>
    <t>Y luego no quieren que votemos a @Santi_ABASCAL? Agreden a un estudiante de Vitoria por defender la unidad de España, basta ya de aguantar esta vergüenza @iurkullu</t>
  </si>
  <si>
    <t>http://www.elmundo.es/pais-vasco/2018/12/05/5c06ee5f21efa089208b4777.html</t>
  </si>
  <si>
    <t>Toma nota @Santi_ABASCAL : esto tiene que terminar, es una bofetada a los españoles que ganan el pan día a día por una miseria de sueldo. RT @MediterraneoDGT: 🔵 #EXCLUSIVA Los diputados aprueban subirse el sueldo un 2,5%</t>
  </si>
  <si>
    <t>https://twitter.com/MediterraneoDGT/status/1070390899996352512
https://www.mediterraneodigital.com/espana/economia/los-diputados-aprueban-subirse-el-sueldo-un-2-5.html</t>
  </si>
  <si>
    <t>Esteban</t>
  </si>
  <si>
    <t>Es usted tonto, verdad ? @Santi_ABASCAL RT @elprogramadear: .@Santi_ABASCAL : "El matrimonio es la unión entre un hombre y una mujer" @vox_es #AbascalAR</t>
  </si>
  <si>
    <t>Nobody said it was easy. No one ever said it would be so hard. Terapia Ocupacional en la UCM</t>
  </si>
  <si>
    <t>http://instagram.com/esteban12396</t>
  </si>
  <si>
    <t>Viendo a @Santi_ABASCAL en la entrevista de @elprogramadear ...felicidades por la paciencia y serenidad que ha demostrado, frente a preguntas tendenciosas y dirigidas para responder lo que quería la presentadora... (yo no habría aguantado tanto, en serio)</t>
  </si>
  <si>
    <t>https://pbs.twimg.com/media/DtrTbLzXcAMkOm2.jpg</t>
  </si>
  <si>
    <t>VOX Noticias 🇪🇸</t>
  </si>
  <si>
    <t>🔴🎙️ Rueda de prensa del CEN de VOX | @Santi_ABASCAL sobre los pactos "Estamos a la expectativa para ver si Ciudadanos está a la altura de la responsabilidad o frustra una oportunidad histórica, extraordinaria en Andalucía después de 40 años de corrupción socialista"</t>
  </si>
  <si>
    <t>¡Afíliate o colabora!</t>
  </si>
  <si>
    <t>Perfil oficial de información de @vox_es | Libertad, identidad, soberanía, familia, valores, justicia y democracia | #EspañaLoPrimero</t>
  </si>
  <si>
    <t>https://www.voxespana.es/afiliarse-a-vox</t>
  </si>
  <si>
    <t>LINCE</t>
  </si>
  <si>
    <t>HOLA @Santi_ABASCAL quiero FELICITARTE POR LA EXCELENTE CARTA QUE LE ENVIASTE A cpmp tu dices ( Pablo, permíteme que me ahorre lo de " estimado ", más que nada porque me gusta decir la verdad siempre ). ERES TODO UN HOMBRE, YO SOY AFILIADO DEL PP Y ESPERO QUE EN EL FUTURO PRÓXIMO</t>
  </si>
  <si>
    <t>🎗Roger Heredia Jornet</t>
  </si>
  <si>
    <t>A los fascistas de @vox_es @Santi_ABASCAL: "40 años después, podemos hacer balance y afirmar que la Constitución ha servido para alargar el pacto del silencio", @RogerHeredia83  @constitucion40</t>
  </si>
  <si>
    <t>http://bit.ly/2SvMAf0</t>
  </si>
  <si>
    <t>La Torre de l'Espanyol</t>
  </si>
  <si>
    <t>No hi ha República sense Memòria. Opino a @maticatradio @elpuntavui @totesmou i escric a @elnacionalcat. Secretari Nacional de l'ANC #LlibertatPresosPolítics</t>
  </si>
  <si>
    <t>http://dom.cat/5br</t>
  </si>
  <si>
    <t>ABC.es</t>
  </si>
  <si>
    <t>#ABCrecomienda ✍ @PedroCuartango entrevista a @Santi_Abascal: «Sánchez no dura ni un minuto en La Moncloa si adelanta las elecciones»</t>
  </si>
  <si>
    <t>http://ver.abc.es/2amiz6</t>
  </si>
  <si>
    <t>https://pbs.twimg.com/media/DtrQxlZXQAQXyW_.jpg</t>
  </si>
  <si>
    <t>Diario ABC. También en https://www.abc.es https://www.facebook.com/ABCes/ https://www.instagram.com/abc_diario/ https://www.linkedin.com/company/diario-abc/</t>
  </si>
  <si>
    <t>http://www.abc.es</t>
  </si>
  <si>
    <t>Silvia Sanz</t>
  </si>
  <si>
    <t>.@Santi_ABASCAL: "Estamos a la expectativa para ver si Ciudadanos está a la altura de la responsabilidad o frusta una oportunidad histórica, extraordinaria en Andalucía después de 36 años de corrupción socialista".</t>
  </si>
  <si>
    <t>pic.twitter.com/X448pzts6L</t>
  </si>
  <si>
    <t>Periodista. Licenciada en Ciencias de la Información. Editora de contenidos.</t>
  </si>
  <si>
    <t>nafasaro1</t>
  </si>
  <si>
    <t>Dice @Santi_ABASCAL que quiere eliminar la Administración paralela creada al servicio del PSOE, quiere cerrar Canal Sur, eliminar el impuesto de sucesiones y bajar los tramos en el IRPF de los trabajadores. MUSICA PARA MIS OIDOS !!</t>
  </si>
  <si>
    <t>pic.twitter.com/lEIWVvh8Yj</t>
  </si>
  <si>
    <t>Africa</t>
  </si>
  <si>
    <t>Maestro en Salsas de Ali Oli y Autofílico</t>
  </si>
  <si>
    <t>Ángel de los Ríos</t>
  </si>
  <si>
    <t>Cuando hablamos de la responsabilidad de los medios nos referimos a esto. Con @vox_es no vale un #periodismo de declaraciones. La verdad sobre la #violenciamachista es que el 76% de los delitos los cometen españoles. Que no os venda la burra @Santi_ABASCAL</t>
  </si>
  <si>
    <t>https://www.diariosur.es/nacional/primera-mentira-abascal-20181205152953-ntrc.html</t>
  </si>
  <si>
    <t>#SocialMedia frontman en @DiarioSUR y @LavetaEyewear. Cateto. Cocino en @CamperoHub. Un CEO a la izquierda.</t>
  </si>
  <si>
    <t>http://www.sur.es/autor/angel-de-los-rios-591.html</t>
  </si>
  <si>
    <t>Delaluna</t>
  </si>
  <si>
    <t>.@susanadiaz no quiere nada con @vox_es para no “blanquearlos”. ¿Será el socialista Pulido el encargado de blanquear los votos de Vox?. ¿Organizará Pulido, con el dinero de la Obra Social Cajasol, un desayuno con @EPAndalucia y como ponentes @Santi_ABASCAL y @FSerranoCastro ? 👏 RT @Pepe_Fdez: Paren las rotativas. Anota @susanadiaz ¿Quien ha sido el primer socialista en retratarse con Paco Serrano el líder de Vox? Pues ahí lo tienen, con Virgen y todo de por medio 🤣🤣 ¡Que arte chiquillo!</t>
  </si>
  <si>
    <t>https://twitter.com/Pepe_Fdez/status/1070313511564255233</t>
  </si>
  <si>
    <t>https://pbs.twimg.com/media/DtqEEsMWwAELJae.jpg</t>
  </si>
  <si>
    <t>Cuando a las víctimas del terror etarra -@Santi_ABASCAL y Ortega Lara- se les llama fascistas, y a sus verdugos -Otegi, Bolinaga, Juana Chaos- "hombres de paz", es que en España está fallando la democracia.</t>
  </si>
  <si>
    <t>Maria</t>
  </si>
  <si>
    <t>En serio? Y después se preguntan por qué hemos votado a @Santi_ABASCAL @vox_es Los diputados aprueban subirse el sueldo un 2,5%  vía @MediterraneoDGT</t>
  </si>
  <si>
    <t>https://www.mediterraneodigital.com/espana/economia/los-diputados-aprueban-subirse-el-sueldo-un-2-5.html</t>
  </si>
  <si>
    <t>yo tengo vagina! que coño agujero delantero... Soy socialista y he votado a vox</t>
  </si>
  <si>
    <t>Arellano</t>
  </si>
  <si>
    <t>eh @Santi_ABASCAL desbloquéame en Instagram, por favor</t>
  </si>
  <si>
    <t>procrastination queen</t>
  </si>
  <si>
    <t>https://www.instagram.com/_saradylan/</t>
  </si>
  <si>
    <t>La persecución y los insultos que recibe @Santi_ABASCAL de todas partes, recuerda cada vez más al acoso y amenazas sufridas por José Calvo Sotelo en 1936. Sabemos qué pasó después.</t>
  </si>
  <si>
    <t>Adelante España 🐸</t>
  </si>
  <si>
    <t>La izquierda está tan desquiciada, que incluso apela al constitucionalismo. El partido de @Santi_ABASCAL y Ortega Lara, no es constitucional y por eso deber ser ilegalizado, dicen los socios del etarra Otegi, el comunista Iglesias, y el separatista Torra. Ver para creer.</t>
  </si>
  <si>
    <t>Joven estudiante y trabajador. Español por la Gracia de Dios.</t>
  </si>
  <si>
    <t>Mari Carmen #FreeTabarnia #SanchezDimision</t>
  </si>
  <si>
    <t>Este será el símbolo republicano que llevarán los chavistas de @ahorapodemos mañana al hemiciclo con los Reyes No se cansan de hacer el ridículo, estos terminan haciendo presidente a Santi Abascal</t>
  </si>
  <si>
    <t>https://www.elconfidencial.com/espana/2018-12-05/simbolo-republicano-podemos-reyes-constitucion_1688734/?utm_source=twitter&amp;utm_medium=social&amp;utm_campaign=BotoneraWeb</t>
  </si>
  <si>
    <t>Excepto Dios, nadie es lo suficientemente importante en tu vida para amargártela. ( Pedro Altuna)</t>
  </si>
  <si>
    <t>Coherencia, pura coherencia y sentido común. @Santi_ABASCAL @vox_es @Ortega_Smith</t>
  </si>
  <si>
    <t>https://youtu.be/BoV99TEbq9s</t>
  </si>
  <si>
    <t>jesus lopez</t>
  </si>
  <si>
    <t>Me encanta ver a @noticias_cuatro @sextaNoticias @A3Noticias..... A todos los de la extrema izquierda e izquierda..... Intentar desprestigiar a @vox_es. La ESPAÑA VIVA esta más fuerte que nunca y es realmente lo qe más les fastidia!!! AHORA no podemos parar @Santi_ABASCAL!!!!!!!</t>
  </si>
  <si>
    <t>Si tú sabes lo que vales ve y consigue lo que mereces, pero tendrás que soportar los golpes.</t>
  </si>
  <si>
    <t>Nacho</t>
  </si>
  <si>
    <t>Si quieres criticar a @vox_es o a su actual Presidente @Santi_ABASCAL moléstate en conocerlos</t>
  </si>
  <si>
    <t>https://www.telecinco.es/elprogramadeanarosa/santiago-abascal-entrevista_0_2670150013.html?amp=true</t>
  </si>
  <si>
    <t>Abogado ⚖️ “Colores de sangre y oro lucen en nuestra bandera, no hay oro para comprarla ni sangre para vencerla”</t>
  </si>
  <si>
    <t>FlameMkito Cuerdo</t>
  </si>
  <si>
    <t>Qué risas con @pnique en la @laSextaTV diciéndole a Ferreras que @Santi_ABASCAL era un fascista por llevar pistola, que si conocía algún otro político. Y le dice Ferreras: Julio Anguita. Estaría amenazado dice @pnique, como si @Santi_ABASCAL no lo estuviese. @pnique DEMAGOGO.</t>
  </si>
  <si>
    <t>JG99</t>
  </si>
  <si>
    <t>Cundo algun retrasadito mental te hable del fascismo de @vox_es , le pones este amitoso documento audiovisual donde aparecen entre otros los socios de @sanchezcastejon reglando magdalenas a los concejales . Si, el de rojo es @Santi_ABASCAL .</t>
  </si>
  <si>
    <t>https://youtu.be/2PoI1Qtn0XA</t>
  </si>
  <si>
    <t>Emprendedor y soñador insaciable. Sube, equivócate, cae y vuelve a levantarte.</t>
  </si>
  <si>
    <t>Tras la reunión del Comité Ejecutivo Nacional de @vox_es, @Santi_ABASCAL aseguró que Pablo Iglesias "es el principal responsable" de la violencia que se está viviendo en Andalucía.</t>
  </si>
  <si>
    <t>pic.twitter.com/khiTI60nPw</t>
  </si>
  <si>
    <t>Santiago Navajas</t>
  </si>
  <si>
    <t>Entrevista en televisión a @Santi_ABASCAL . La presentadora @anarosaq afirma (min. 12:50) que "no hay ningún hombre muerto por violencia doméstica"  lo "gracioso" es que antes también había dicho que "los datos son los datos"</t>
  </si>
  <si>
    <t>https://www.youtube.com/watch?v=EdpZF3nLMF8
http://www.poderjudicial.es/stfls/ESTADISTICA/FICHEROS/V%C3%ADctimas%20mortales%20VG%20y%20VD%20%C3%A1mbito%20pareja%20y%20ex-pareja/ESTUDIO%20SENTENCIAS%20TJ%20Y%20AP%20%20MUERTES%20PAREJA%20O%20EXPAREJA%202016%20Y%20MENORES.pdf</t>
  </si>
  <si>
    <t>https://pbs.twimg.com/media/DtrMf3PW4AIo2Kz.jpg</t>
  </si>
  <si>
    <t>Profesor de Filosofía. Crítico político, cinematográfico y literario. santiagonavajas@gmail.com</t>
  </si>
  <si>
    <t>http://cineypolitica.blogspot.com.es/</t>
  </si>
  <si>
    <t>🚨 Rueda de prensa de @Santi_ABASCAL ⤵ 🗨 "Queremos reformar el Estatuto andaluz para que esta comunidad sea pionera en devolver competencias". 🗨 "No tenemos voluntad de entrar en el Gobierno, no queremos consejerías, ni sillones, ni presidir el Parlamento".</t>
  </si>
  <si>
    <t>EL MELENAS</t>
  </si>
  <si>
    <t>SI SR @Santi_ABASCAL eso es lo que ESPAÑA NECESITA JUNTO CON LOS PODEMITAS. HAY QUE SACARLOS DEL PAIS. DE TODAS MANERAS EN LAS GENERALES SE QUEDAN KO ENHORABUENA Santi</t>
  </si>
  <si>
    <t>https://pbs.twimg.com/media/DtrMh3yWwAEopxb.jpg</t>
  </si>
  <si>
    <t>SINCERO,REALISTA,NATURALISTA Y OPTIMISTA, así me calificaría simplemente.</t>
  </si>
  <si>
    <t>Carlos J. Hurtado 🇪🇺</t>
  </si>
  <si>
    <t>.@marianorajoy fue lo mejor que le pudo pasar a @Pablo_Iglesias_ y éste es lo mejor que le está pasando a @Santi_ABASCAL.</t>
  </si>
  <si>
    <t>Extremadura</t>
  </si>
  <si>
    <t>Tech&amp;Games. Jurista. Políticas en @UNED y Periodismo en @URJC. Izquierda liberal. Progresista. Republicano. En @CiudadanosCs. “Sapere aude”.</t>
  </si>
  <si>
    <t>Más influyentes ahora en Derecha/Centro Dcha.: ➀ @Albert_Rivera ↓ ➁ @juanchoex ↑ ➂ @josepramonbosch ↓ ➃ @ldpsincomplejos ↑ ➄ @JosPastr ↓ ➅ @Santi_ABASCAL ↓ ➆ @javiernegre10 ↑ ➇ @ANDRES_CANO42 ↑↑ ➈ @elmundoes ↓</t>
  </si>
  <si>
    <t>Rocio</t>
  </si>
  <si>
    <t>#cuatro trata y especifica que @Santi_ABASCAL es un mentiroso,</t>
  </si>
  <si>
    <t>HELLIN ( CIUDAD DEL TAMBOR)</t>
  </si>
  <si>
    <t>hola, lo que ves es lo que hay, me gusta el mar, la musica, el cine, volar, soñar, la semana santa de mi hellin, ciudad del tambor, sus tambores y fan de alonso</t>
  </si>
  <si>
    <t>el de los cojones largos.</t>
  </si>
  <si>
    <t>Un colectivo que ha endiosado a Diana Ross y ha convertido está canción en un himno es INTOCABLE. ¿ME OYES @Santi_ABASCAL? INTOCABLE.</t>
  </si>
  <si>
    <t>https://open.spotify.com/track/0ew27xRdxSexrWbODuLfeE?si=_ZE5GHxXQk2iXF4gaG8l5w</t>
  </si>
  <si>
    <t>Mостолес, Кастилья</t>
  </si>
  <si>
    <t>Barriobajero del 92. En otras vidas fuí cosmonauta soviético y mediocentro rocoso del Logroñés. Costumbrista. Kitsch. Bético.</t>
  </si>
  <si>
    <t>https://www.youtube.com/CarlosJericho</t>
  </si>
  <si>
    <t>Mas votos para Vox, yo creo que a Tezanos lo tiene fichado Santi Abascal 😱 Tezanos da 12 puntos de ventaja al PSOE, triple empate de PP, Cs y UP y deja fuera a Vox  vía @indpcom</t>
  </si>
  <si>
    <t>https://www.elindependiente.com/politica/2018/12/05/tezanos-da-12-puntos-ventaja-al-psoe-triple-empate-pp-cs-up-deja-vox/?utm_source=share_buttons&amp;utm_medium=twitter&amp;utm_campaign=social_share</t>
  </si>
  <si>
    <t>Hola @Santi_ABASCAL ahora mismo en @cuatro @noticias_cuatro te están llamando mentiroso. El tipo está muy nervioso... Dice que @vox_es está calentando las calles...</t>
  </si>
  <si>
    <t>Jotazé 🎗</t>
  </si>
  <si>
    <t>Putos nazis diciendo cosas nazis. 'Prepárate para lo que estoy apunto de hacer, pero la culpa de mi violencia es tuya' firmado @Santi_ABASCAL, el nazi. RT @Santi_ABASCAL: Después de que hordas comunistas empujadas por Pablo Iglesias aullaran pidiendo descuartizar "a pedazos" a los miembros de VOX, vemos como hay periodistas señalando direcciones y a familiares de candidatos. Tomamos nota. Pero ya advertimos: serán culpables de las consecuencias.</t>
  </si>
  <si>
    <t>Someone lost</t>
  </si>
  <si>
    <t>Con la gente de @vox_es @CiudadanosCs @PPopular ni respeto, ni amabilidad ni mierdas, a esta gente LANZALLAMAS!🔥 #Fascistas @Santi_ABASCAL @pablocasado_ @Albert_Rivera #fueradeespaña #fachas</t>
  </si>
  <si>
    <t>🎗️me paso por el forro de los cojones el rey y la rae. Busco una españa republicana, y si no es asi, un pais vasco independiente socialista y feminista</t>
  </si>
  <si>
    <t>El Corsario Azul</t>
  </si>
  <si>
    <t>En el programa de Ana Rosa de tele5 el responsable de VOX. Santi Abascal ha dicho: " que en los consejos de administración, en las listas electorales, así como en cualquier institución tienen que estar los mejores, sean hombres o mujeres. La "extrema derecha" avanza sin cesar.</t>
  </si>
  <si>
    <t>🇪🇸 ... contra la piratería nacionalista en toda España y contra políticos miserables que por intereses malvados dejan crecer la ciénaga que nos apesta a todos.</t>
  </si>
  <si>
    <t>jose manuel</t>
  </si>
  <si>
    <t>Hispania...año de Nuestro Señor 2035...Navidad...Se alzan muñecos de Papa Noel en honor de nuestro Rey @Santi_ABASCAL</t>
  </si>
  <si>
    <t>https://pbs.twimg.com/media/DtrJpQGWkAMFvuT.jpg</t>
  </si>
  <si>
    <t>Long live Rock'n Roll,Atlético de Madrid,Quien me ha robado el mes de Abril?</t>
  </si>
  <si>
    <t>Miguel Ángel</t>
  </si>
  <si>
    <t>Los medios de comunicación, es especial el grupo Atresmedia y muchos de los partidos políticos, no sólo PODEMOS le hacen una campaña a Vox de cojones. @Santi_ABASCAL estará eufórico. Vox sacará unos resultados muy buenos en las generales. Esperando acontecimientos.</t>
  </si>
  <si>
    <t>ESPAÑA, UNIÓN EUROPEA</t>
  </si>
  <si>
    <t>CULÉ. En el Barça se enseña a GANAR. Verde Olivo. EL HONOR UNA VEZ PERDIDO ES IRRECUPERABLE. VIVA LA GUARDIA CIVIL 🚔💪🇪🇸#GRS #ElHonorEsMiPrincipalDivisa</t>
  </si>
  <si>
    <t>Zorro más-que-urbano</t>
  </si>
  <si>
    <t>A Canal Sur lo que quieras pero el anime de Canal 2 Andalucía ni me lo toques, Santi</t>
  </si>
  <si>
    <t>https://www.elconfidencial.com/elecciones-andalucia/2018-12-04/santiago-abascal-canal-sur-vox_1685166/</t>
  </si>
  <si>
    <t>Alhendin, Granada</t>
  </si>
  <si>
    <t>Biólogo víctima de asesinato casi una veces.Metacontrarian. Neurosupremacista trastornado. Enemigo de la naturaleza humana. Influencer. Tuitcasado con @Artirkel</t>
  </si>
  <si>
    <t>https://biolovulpes.wordpress.com/</t>
  </si>
  <si>
    <t>Pablo Tilox 🎸🤘</t>
  </si>
  <si>
    <t>Estoy deseando ver a @Santi_ABASCAL reflotando las Carabelas para conquistar Las Indias.</t>
  </si>
  <si>
    <t>No he venido aquí para discutir.</t>
  </si>
  <si>
    <t>http://www.zztop.es</t>
  </si>
  <si>
    <t>VOX Campo Real</t>
  </si>
  <si>
    <t>La España Viva, la España Valiente se mueve. Gracias @Santi_ABASCAL @Ortega_Smith @monasterioR y a todos los que no os rendisteis a pesar de las adversidades por devolvernos la ilusión y esperanza. ¡Viva España!</t>
  </si>
  <si>
    <t>pic.twitter.com/kRQwY7tWMt</t>
  </si>
  <si>
    <t>Campo Real</t>
  </si>
  <si>
    <t>VOX, la alternativa política para una España que mira a la derecha sin complejos.</t>
  </si>
  <si>
    <t>https://www.voxespana.es</t>
  </si>
  <si>
    <t>Pedro Hdez. Marco</t>
  </si>
  <si>
    <t>📺 @Santi_ABASCAL en @elprogramadear 👉🏻 "Albert Rivera es como un toro manso, no sabes por dónde va a salir. Cuando alguien vota a Ciudadanos, uno no sabe si va a entregar el voto a la derecha o a la izquierda"... RT @voxnoticias_es: 📺 @Santi_ABASCAL en @elprogramadear 👉🏻 "Albert Rivera es como un toro manso, no sabes por dónde va a salir. Cuando alguien vota a Ciudadanos, uno no sabe si va a entregar el voto a la derecha o a la izquierda" #AbascalAR</t>
  </si>
  <si>
    <t>https://twitter.com/voxnoticias_es/status/1070261258538995712?s=19</t>
  </si>
  <si>
    <t>https://pbs.twimg.com/media/DtpU7jLXgAAM44r.jpg</t>
  </si>
  <si>
    <t>Villena (Alicante) España</t>
  </si>
  <si>
    <t>Noticias de Villena http://www.vinalopodigital.net</t>
  </si>
  <si>
    <t>http://www.vinalopodigital.net</t>
  </si>
  <si>
    <t>Silvia Rua</t>
  </si>
  <si>
    <t>Sí @vox_es , @Santi_ABASCAL no te mete una denuncia,te la meto yo. Deja de difamar Deja de alentar a una guerra en la calle. Sí quieres hacer algo, apoyo con tú dinero todos los gastos que la víctima de la manada va a tener. RT @LaFallaras: Vaya...</t>
  </si>
  <si>
    <t>https://twitter.com/LaFallaras/status/1069985253018750977
https://twitter.com/javiernegre10/status/1069908354686947328</t>
  </si>
  <si>
    <t>Bueu, España</t>
  </si>
  <si>
    <t>ex-presidenta Asoc.Nac.Arnold.Chiari. Radio,prensa,TV. sin cortapisas, darme un micrófono y diré que pienso, partido Pacma,Amo los lobos.sigo a quién me siga.</t>
  </si>
  <si>
    <t>MARIANO RAJOY FAKE</t>
  </si>
  <si>
    <t>Santiago Abascal no quiere asumir resposabilidades de gobierno. Quiere que otros le hagan el trabajo sucio. Aparte de ser un fascista, @Santi_ABASCAL es un cobarde.</t>
  </si>
  <si>
    <t>Registrador de la propiedad. Muy español y mucho español.</t>
  </si>
  <si>
    <t>Jose Leyva</t>
  </si>
  <si>
    <t>Perdona @Santi_ABASCAL cómo se llama tu caballo?</t>
  </si>
  <si>
    <t>Alcobendas, Comunidad de Madri</t>
  </si>
  <si>
    <t>Director Ejecutivo de la División Digital del GBTV @BLiveTV Procrastinador</t>
  </si>
  <si>
    <t>https://youtu.be/mu-UrNpNeS4</t>
  </si>
  <si>
    <t>#autónomo-f-Tabarnia  🐒</t>
  </si>
  <si>
    <t>Sugiero a @Santi_ABASCAL sea prudente en sus planteamientos, no pegue arrancadas que es mejor contar cada paso</t>
  </si>
  <si>
    <t>Bloqueado por la mayoría de #jauriapodemita; barbero de caraduras y rufianes, 100% ESPAÑOL</t>
  </si>
  <si>
    <t>Diego dal Santo</t>
  </si>
  <si>
    <t>Fue @Pablo_Iglesias_ quien lanzó la noche electoral una llamada a la violencia. Pero el extremista es @Santi_ABASCAL ,OJO.</t>
  </si>
  <si>
    <t>https://pbs.twimg.com/media/DtrGUwtWsAEwEDb.jpg</t>
  </si>
  <si>
    <t>Fernando San Martín</t>
  </si>
  <si>
    <t>Que te den @Santi_ABASCAL mi matrimonio es tan válido como el tuyo RT @Armunho: Madre mía, qué peligro los moros que vienen a España y no aceptan nuestras costumbres y valores.</t>
  </si>
  <si>
    <t>https://twitter.com/Armunho/status/1070315734734127104
https://twitter.com/elprogramadear/status/1070258176149413888</t>
  </si>
  <si>
    <t>Irun (Gipuzkoa)</t>
  </si>
  <si>
    <t>Urrundik heldu naiz,luze ibili, bidez bide …Cuando emprendas tu viaje a Itaca pide que el camino sea largo,lleno de aventuras lleno de experiencias. C.P.Kavafis</t>
  </si>
  <si>
    <t>Pueden tener los Sr @Santi_ABASCAL y @Ortega_Smith los cojones más grandes? Solo puedo decir BRAVO. Ni un paso atrás @vox_es no os blanqueeis. 🇪🇸</t>
  </si>
  <si>
    <t>Merche Marín Navarro</t>
  </si>
  <si>
    <t>Vamos a calumniar y sembrar odio hacia los extranjeros que algo queda, @Santi_ABASCAL. RT @Newtral: FACT-CHECK | Santiago Abascal: "Las mujeres asesinadas en España han sido, mayoritariamente, a manos de extranjeros" FALSO❌❌ Toda la información, aquí:</t>
  </si>
  <si>
    <t>Estudiante de Periodismo en la UMU.</t>
  </si>
  <si>
    <t>Asoc WADO LGTBI+ CLM</t>
  </si>
  <si>
    <t>#StopLGTBIfobia Indignante que @elprogramadear Ana Rosa le dé cobertura para estas declaraciones a @Santi_ABASCAL de @Vox_es Nuestra organización es apartidista respetando cualquier posicionamiento político a excepción de aquellos con políticas del pasado RT @elprogramadear: .@Santi_ABASCAL : "El matrimonio es la unión entre un hombre y una mujer" @vox_es #AbascalAR</t>
  </si>
  <si>
    <t>https://twitter.com/elprogramadear/status/1070258176149413888?s=21
http://bitly.is/2E3iAmE</t>
  </si>
  <si>
    <t>Castilla-La Mancha, España</t>
  </si>
  <si>
    <t>Asociación WADO #LGTBI+ de Castilla-La Mancha #CLM. Feministas #StopLGTBIfobia mail wadoasociacion@gmail.com web http://www.wado.es</t>
  </si>
  <si>
    <t>http://www.wado.es</t>
  </si>
  <si>
    <t>Edgar Gandía</t>
  </si>
  <si>
    <t>Hay que repetirlo mil veces hasta que cale bien hondo: @Santi_ABASCAL es un fascista de mierda. Un rico que pretende gobernar para ricos con la bara de medir del fascismo, un manipulador y un mentiroso.</t>
  </si>
  <si>
    <t>Estudiante de Historia y fotógrafo en mis ratos libres. A veces opino cosas, aunque las comparto más por Instagram que por aquí. Ig: @ed_crap_bag</t>
  </si>
  <si>
    <t>Agustín M. Altés</t>
  </si>
  <si>
    <t>Hoy, sólo cabe aplaudir a @Santi_ABASCAL y darle soporte con nuestros votos y nuestra implicación en el proyecto de recuperar España para los españoles. Vox exige devolver al Estado las competencias de educación y sanidad para dar su apoyo en Andalucía</t>
  </si>
  <si>
    <t>http://www.elmundo.es/espana/2018/12/05/5c081412fc6c83685d8b4777.html</t>
  </si>
  <si>
    <t>En 🐸 ➡️ aaltes | Para defender la cultura y tradición Occidental sólo hay una vía : Reconquista. | Identitario y liberal. #StopIslam</t>
  </si>
  <si>
    <t>Lord Fancy-Pants</t>
  </si>
  <si>
    <t>Un Símbolo Arcano protegerá vuestro hogar de Santi Abascal y de los agentes de los Dioses Exteriores (recordad que no afecta a Cthulhu y Razas Independientes). RT @AuradeCristal87: Levantar protecciones en torno a vuestras casas (y si vivís en pisos yo lo haría en todo el edificio) y hacer hechizos de protección para quienes pensáis que podrían sufrir amenazas. Los sigilos pueden ser un método rápido y efectivo.</t>
  </si>
  <si>
    <t>https://twitter.com/AuradeCristal87/status/1069935518379589637</t>
  </si>
  <si>
    <t>pic.twitter.com/G1GBXsPfXw</t>
  </si>
  <si>
    <t>Aspirante a vedette del Teatro-Circo de Manolita Chen. Horario de atención a mongoreplys: Jueves de 12:00 a 14:00</t>
  </si>
  <si>
    <t>alberto diaz</t>
  </si>
  <si>
    <t>Que dice el chico este tan majo @Santi_ABASCAL @vox_es que quiere derogar la ley de violencia de género, el matrimonio homosexual y echar a los immigrantes, pero que muchos de sus militantes y votantes son mujeres, homosexuales y immigrantes. Pues muy bien, oye. #VOXmitando</t>
  </si>
  <si>
    <t>http://www.albertodiaz.net</t>
  </si>
  <si>
    <t>Espe</t>
  </si>
  <si>
    <t>Gracias @Santi_ABASCAL por defender la unidad de España y la sensatez dentro de un sistema podrido y corrupto. Mucho ánimo!!</t>
  </si>
  <si>
    <t>eterna estudiante a tiempo parcial.</t>
  </si>
  <si>
    <t>Akra insurrecto</t>
  </si>
  <si>
    <t>El nazi @Santi_ABASCAL @telecincoes...tienen que ser expulsados de #LaIglesiaCatólica, ¿no @Padre__Angel? (que dios le acoja en su seno), porque no paran de mentir para enfrentar a los #EspañolesContraEspañoles, y #Viceversa en bucle..</t>
  </si>
  <si>
    <t>En demolición permanente. Cuando haya acabado empiezo a construir. Insurrecto por vocación, insumiso porque me sale de los cojones.</t>
  </si>
  <si>
    <t>Señor Fascista, Totalitario, Mal Perdedor @Pablo_Iglesias_ si usted cree que Otegui es hombre Paz y el Señor Ortega Lara junto con @Santi_ABASCAL y @vox_es son Fascistas, creo que tiene un Grave Fallo en Su Percepción como que Galapagar No es un Barrio.</t>
  </si>
  <si>
    <t>https://pbs.twimg.com/media/DtrB0aLW0AEQSnV.jpg</t>
  </si>
  <si>
    <t>José Ramón Fernández</t>
  </si>
  <si>
    <t>Magnífico @Santi_ABASCAL . Hay que acabar con chiringuitos y concentrar el dinero público en lo importante. Espero que @PPopular y #Ciudadanos lo hagan.</t>
  </si>
  <si>
    <t>https://www.google.es/amp/s/www.elconfidencial.com/amp/elecciones-andalucia/2018-12-04/santiago-abascal-canal-sur-vox_1685166/</t>
  </si>
  <si>
    <t>Candás(Carreño), Asturias</t>
  </si>
  <si>
    <t>Orgulloso de ser español y de derechas.</t>
  </si>
  <si>
    <t>https://m.facebook.com/joseramonfernandezgutierrez</t>
  </si>
  <si>
    <t>Elquelasmatacallando</t>
  </si>
  <si>
    <t>Bravo @Santi_ABASCAL . Valiente desde hace mucho. El @PPopular deberia recordar y reconocer esa lucha tan dura y tan horrible y a los que la hicieron. Los demas por lo menos mostrar un respeto.</t>
  </si>
  <si>
    <t>pic.twitter.com/pPHYwcoJOh</t>
  </si>
  <si>
    <t>Eduardo Sanchez-Millan</t>
  </si>
  <si>
    <t>Sin el cartel instalado, con la puerta sin pintar, con mobiliario prestado pero con mucha ilusión, abre sus puertas en #Lorca la nueva sede de #VOX . Este primer tweet tenía que ser para pedirle fuerzas a @Santi_ABASCAL . Empieza la reconquista de la #EspañaViva</t>
  </si>
  <si>
    <t>https://pbs.twimg.com/media/DtrBhI6XgAQBD6R.jpg</t>
  </si>
  <si>
    <t>Lorca, España</t>
  </si>
  <si>
    <t>Feo. Fuerte. Formal.</t>
  </si>
  <si>
    <t>TrabajadoresCanalSur</t>
  </si>
  <si>
    <t>Grande @plazaro67 explicándole a @Santi_ABASCAL que para cerrar @canalsur hay que cambiar el Estatuto y que no tienen mayoría suficiente ni con @ppandaluz y @Cs_Andalucia. Que eso lo ha decidido el @ParlamentoAnd, ante su estupefacción. Cuánta incultura política e institucional!</t>
  </si>
  <si>
    <t>Cuenta de la Agrupación de Trabajadores de Canal Sur. Somos independientes. Luchamos por nuestros derechos y una radiotelevisión pública de calidad.</t>
  </si>
  <si>
    <t>http://www.agrupacioncs.es</t>
  </si>
  <si>
    <t>pechospoliticos</t>
  </si>
  <si>
    <t>Me encanta este párrafo de la carta que @Santi_ABASCAL le dirigió la perro flauta @Pablo_Iglesias_ A las cosas por su nombre</t>
  </si>
  <si>
    <t>https://pbs.twimg.com/media/DtrAM3VX4AAdnOO.jpg</t>
  </si>
  <si>
    <t>En la trena</t>
  </si>
  <si>
    <t>Libertad para los pechos políticos catalanes</t>
  </si>
  <si>
    <t>Ciudadano ejemplar</t>
  </si>
  <si>
    <t>Os imagináis una República Española en la que Santi Abascal llegara a ser presidente de forma licita y no como Alcalá Zamora? Antes intentan exterminarnos los 'democratas' ...sin exito por cierto.</t>
  </si>
  <si>
    <t>Naci en la Plaza del Caudillo y vivo en la Plaza de la Constitución.Lo de que muera en la Plaza de la República ni lo sueñes.</t>
  </si>
  <si>
    <t>Maldita Sea Muchacho</t>
  </si>
  <si>
    <t>También se le llama matrimonio a la unión de un chasis y el conjunto motriz de un coche @Santi_ABASCAL , evoluciona chico</t>
  </si>
  <si>
    <t>https://pbs.twimg.com/media/Dtq_w73W0AAh4Pn.jpg</t>
  </si>
  <si>
    <t>No</t>
  </si>
  <si>
    <t>Maldita sea muchacho, te he pedido una cerveza y no la veo por ninguna parte.</t>
  </si>
  <si>
    <t>Chus* P.G.</t>
  </si>
  <si>
    <t>Si te hace feliz pensar eso 🤔 pues tu mismo pero dudo que nadie se juegue el tipo viviendo con la amenaza de ETA como hizo @Santi_ABASCAL por un sueldo .... Cada uno feliz con sus pensamientos 😆 yo estudie en politicas y se bien de que va aquello, escuela de mandados RT @Entelequio2: @Chusbrave @Santi_ABASCAL Pablo Iglesias ha vivido de su sueldo de profesor. Abascal de la política y, luego, de mamandurrias que le daba Esperanza Aguirre. No blanquees el pasado de alguien que no ha trabajado de verdad en toda su vida.</t>
  </si>
  <si>
    <t>https://twitter.com/entelequio2/status/1070302841057787905</t>
  </si>
  <si>
    <t>Lic. CC. Políticas&amp;RR. Int.//Por este orden: Madre, esposa, infatigable trabajadora &amp; emprendedora. Pedes in terra ad sidera visus.</t>
  </si>
  <si>
    <t>Esto de @RamonEspinar, para los que quieren parar realmente A @vox_es, es bastante sensato. Otra cosa es mi opinión de que @Santi_ABASCAL deba ser parado o no. RT @RamonEspinar: Vox es, todavía, un síntoma exótico de la radicalización de la derecha. Hay que derrotarlos empezando por no creerles más grandes de lo que son: extremistas y minoritarios. Más parecidos a Falange que a Trump. Defender España con un proyecto que avance. Seguimos. ✊🏼💜</t>
  </si>
  <si>
    <t>https://twitter.com/RamonEspinar/status/1069965484962009091</t>
  </si>
  <si>
    <t>Más comentados ahora en Derecha/Centro Dcha.: ➀ @ahorapodemos ↑ ➁ @Santi_ABASCAL ↓ ➂ @josepramonbosch ↑ ➃ @JosPastr ↓ ➄ @Albert_Rivera ↑ ➅ @vox_es ↑ ➆ @ldpsincomplejos ↓ ➇ @sanchezcastejon ↓ ➈ @elmundoes ↓</t>
  </si>
  <si>
    <t>Te hecho un duelo cuando quieras @Santi_ABASCAL jejeje, extrema derecha a mi</t>
  </si>
  <si>
    <t>https://pbs.twimg.com/media/Dtq-zaOWoAI-_df.jpg</t>
  </si>
  <si>
    <t>Más influyentes ahora en Derecha/Centro Dcha.: ➀ @josepramonbosch ↑ ➁ @JosPastr ↓ ➂ @Santi_ABASCAL ↑ ➃ @ldpsincomplejos ↓ ➄ @Albert_Rivera ↓ ➅ @juanchoex ↓ ➆ @elmundoes ↓ ➇ @hermanntertsch ↑↑ ➈ @FrayJosepho ↑↑</t>
  </si>
  <si>
    <t>Gracias @plazaro67 por dar la cara. Por suerte, hemos tenido tu voz para explicarle a @Santi_ABASCAL un par de cosas sobre cosas fundamentales para un político. Saber cómo funcionan las leyes y las instituciones y qué es un servicio público... Una tontería, vaya. 🤦🏼‍♀️🤦🏼‍♀️🤦🏼‍♀️</t>
  </si>
  <si>
    <t>Escapadas</t>
  </si>
  <si>
    <t>Para todos aquellos que después de la censura de TELECINCO os habéis quedado con las ganas de ver la entrevista que esta mañana Ana Rosa Quintana le ha hecho a @Santi_ABASCAL, aquí comparto un enlace. #VoxExtremaNecesidad</t>
  </si>
  <si>
    <t>https://youtu.be/hAWZRD9sfnk</t>
  </si>
  <si>
    <t>Escapadas para gente sin tiempo</t>
  </si>
  <si>
    <t>Cabreados 24h : @pablocasado_: 1164 @Albert_Rivera: 3335 @sanchezcastejon: 7533 @Pablo_Iglesias_: 13566 @Santi_ABASCAL: 15044</t>
  </si>
  <si>
    <t>https://pbs.twimg.com/media/Dtq-P3-WwAApFaj.png</t>
  </si>
  <si>
    <t>Choupa 🦑</t>
  </si>
  <si>
    <t>Grande Santi Abascal...</t>
  </si>
  <si>
    <t>https://m.facebook.com/story.php?story_fbid=10216548224718751&amp;id=1252487398</t>
  </si>
  <si>
    <t xml:space="preserve">Planeta Tierra </t>
  </si>
  <si>
    <t>Un poco de todo y mucho de nada. Liberal🗽</t>
  </si>
  <si>
    <t>SERVICIOS ONLINE WEB</t>
  </si>
  <si>
    <t>Tiene razón @Santi_ABASCAL , el ministerio del Interior está permitiendo manifestaciones violentas contra un partido legal y llamamientos a la agresión y a la muerte de los miembros del mismo. Si pasa algo y cuando pase, responsables serán Pablo Iglesias y el gobierno de Sánchez.</t>
  </si>
  <si>
    <t>Servicios On Line de Traduccion Profesional Español e Ingles. Soporte OnLine Informatico. Servicios Informaticos Fisicos (taller) Venta Equipos Informaticos</t>
  </si>
  <si>
    <t>📢 Únete a VOX por un futuro próspero y feliz🇪🇸✝</t>
  </si>
  <si>
    <t>Bravo @Santi_ABASCAL : "Los inmigrantes que no trabajen deben volver a su país." 👏👏👏👍 RT @voxnoticias_es: 📺 "Se debe combatir la inmigración ilegal. No vienen a pagarnos las pensiones, vienen a recibir las ayudas sociales que a veces no alcanzan a los españoles. Las fronteras deben estar defendidas, no es tolerable que nuestros guardias civiles sean pasados por encima" 🚧 #AbascalAR</t>
  </si>
  <si>
    <t>https://twitter.com/voxnoticias_es/status/1070256337148350464</t>
  </si>
  <si>
    <t>https://pbs.twimg.com/media/DtpQaI7WkAEW-Hk.jpg</t>
  </si>
  <si>
    <t>#HacerEspañaGrandeOtraVez</t>
  </si>
  <si>
    <t>Urge un gobierno patriota, valiente, sensato y honesto que proteja la seguridad, paz, prosperidad, valores e identidad cristiana de los españoles, como hace VOX</t>
  </si>
  <si>
    <t>Fernando Perez</t>
  </si>
  <si>
    <t>#soyafiliadodeVOX , con esto lo dejo claro, y me encanta mis conciertos, mis fines de semanas eternos de festivales de música, y todo ese mundo, pero hace unos meses hable con @vox_es @Santi_ABASCAL y lo tengo muy claro. #VOX @voxnoticias_es , que clarito habla.!!!</t>
  </si>
  <si>
    <t>6 meses en la oscuridad. una vida aun por vivir. Mago de Oz,</t>
  </si>
  <si>
    <t>Marcos Alonso</t>
  </si>
  <si>
    <t>Esto es una perita en dulce que no se puede desaprovechar en cualquier próxima tertulia o entrevista 😊🇪🇸 @Santi_ABASCAL @Ortega_Smith @ivanedlm RT @libertaddigital: Otegi apela a "los demócratas españoles" para crear "una alianza antifascista"</t>
  </si>
  <si>
    <t xml:space="preserve">Reino de España </t>
  </si>
  <si>
    <t>Patriota sin complejos y toledano. Dando la batalla de las ideas. Uno más de la #EspañaViva 🇪🇸</t>
  </si>
  <si>
    <t>juan miguel</t>
  </si>
  <si>
    <t>Están presentando a la ultraderecha, el machismo y la xenofobia. Eso representa @Santi_ABASCAL RT @Ernesto_smria: Cuando la tv de los golpistas, la regional catalana TV3, dedica un programa monográfico a @Santi_ABASCAL aunque sea para desacreditarlo, significa que en @vox_es estamos haciendo las cosas muy bien. #EspañaViva #España #Vox #VotaVox #VoxAvanza #VoxAbascalTV3</t>
  </si>
  <si>
    <t>https://twitter.com/Ernesto_smria/status/1070069647393869826</t>
  </si>
  <si>
    <t>https://pbs.twimg.com/media/Dtmmqz8XcAEBjcP.jpg</t>
  </si>
  <si>
    <t>Sacerdote Español en Santiago de Cali</t>
  </si>
  <si>
    <t>Marga Rdgz</t>
  </si>
  <si>
    <t>Que jodido tiene que ser @Santi_ABASCAL y tener facciones árabes.</t>
  </si>
  <si>
    <t>👸🏻Princesa Republicana. ⚖️amante del derecho . 📸Instagram: marga_rdgz.</t>
  </si>
  <si>
    <t>Adrián Lardiez</t>
  </si>
  <si>
    <t>Santiago Abascal carga contra @El_Plural. Ya lo advertí. Nos tendrás enfrente @Santi_ABASCAL</t>
  </si>
  <si>
    <t>Periodista. Corresponsal parlamentario de @El_Plural . Máster en Análisis Político. ''Oléis eso? Huelo a cabrones... y a tinta''. Instagram: adrianlardiez</t>
  </si>
  <si>
    <t>http://www.elplural.com/users/adri-n-lardiez</t>
  </si>
  <si>
    <t>nesquiker</t>
  </si>
  <si>
    <t>Pensad que si Santi Abascal nos odia es porque lo estamos haciendo bien.</t>
  </si>
  <si>
    <t>Defender la tolerancia exige no defender lo intolerante. Psicología Usal.</t>
  </si>
  <si>
    <t>El Plural</t>
  </si>
  <si>
    <t>#ÚltimaHora @Santi_ABASCAL nos señala en su ofensiva contra la prensa “Sois de extrema izquierda”</t>
  </si>
  <si>
    <t>La actualidad #política que estabas buscando. ¡Bienvenido a #ElPlural! También estamos en Facebook: https://es-es.facebook.com/elpluralcom/</t>
  </si>
  <si>
    <t>http://www.elplural.com</t>
  </si>
  <si>
    <t>catapum</t>
  </si>
  <si>
    <t>Los comentarios del live del PS nivel “qué pongan subtítulos”, “qué venga Santi Abascal a parar esto” cuando hablan en catalán. Dan muchas ganas de ir al festi a que te toque un censo de esos al lado.</t>
  </si>
  <si>
    <t>London</t>
  </si>
  <si>
    <t>En permanente estado de cetosis.</t>
  </si>
  <si>
    <t>Buenas tardes @CasaReal , @sanchezcastejon , @pablocasado_ , @Albert_Rivera , @InesArrimadas , @Santi_ABASCAL #EleccionesAndalucía #Eleccionesandaluzas #AndaluciaDecide #AixequemLaSuspensió #Catalunya #RepublicaCatalana #FemLaRepublicaCatalana #21D #21DBarcelona #MAMBO #FemXarxa RT @ehbilducongreso: 📺 @JonInarritu en @ActualidadRT: «En el Estado español la monarquía está contaminada de origen, ya que fue fruto de la decisión del dictador Franco. Si el rey emérito no hubiera gozado de esa inviolabilidad, a día de hoy seguramente estaría con su yerno en la cárcel de Ávila».</t>
  </si>
  <si>
    <t>https://twitter.com/ehbilducongreso/status/1070286472706703360</t>
  </si>
  <si>
    <t>pic.twitter.com/ilGbhIzT8F</t>
  </si>
  <si>
    <t>✘Jordan Blink✘</t>
  </si>
  <si>
    <t>Esta mañana mi facultad ha despertado con esta sátira a @vox_es y a @Santi_ABASCAL. Ante su violencia, nuestra risa, nuestra sátira y nuestro humor. #ParemoselFascismo #PuenteConstitución2018 #TiempoPactosARV</t>
  </si>
  <si>
    <t>https://pbs.twimg.com/media/Dtq6-IVW4AADnhs.jpg</t>
  </si>
  <si>
    <t>Me gustan los versos gordos | Rock Style | Caca plus | Filología Hispánica - UCM | Cofundador de @Enplanculto</t>
  </si>
  <si>
    <t>http://versosgordos.wordpress.com</t>
  </si>
  <si>
    <t>Borja Losada.</t>
  </si>
  <si>
    <t>Y es así por que a ti te e sale de los cojones @Santi_ABASCAL ? RT @elprogramadear: .@Santi_ABASCAL : "El matrimonio es la unión entre un hombre y una mujer" @vox_es #AbascalAR</t>
  </si>
  <si>
    <t>Tras ver por primera vez a @Santi_ABASCAL en rueda de prensa lo que me viene a la cabeza es el problemón que tiene el @PSOE con @sanchezcastejon Iglesias, Casado, Rivera y el propio Abascal, se lo comen. Qué líder más débil, ideológica y dialécticamente, para enfrentarse a ellos.</t>
  </si>
  <si>
    <t>Sueldos Públicos</t>
  </si>
  <si>
    <t>Los @sueldospublicos que ya ha cobrado @Santi_ABASCAL y el que puede percibir si consigue ser diputado en el @Congreso_Es  @vox_es</t>
  </si>
  <si>
    <t>http://ow.ly/i9aI30mS5oC</t>
  </si>
  <si>
    <t>https://pbs.twimg.com/media/Dtq4xiDXgAQa0PY.jpg</t>
  </si>
  <si>
    <t>Lo que cobran nuestros políticos, a un clic. También hablamos de transparencia, corrupción, gasto y políticas públicas. #sueldos</t>
  </si>
  <si>
    <t>http://www.sueldospublicos.com</t>
  </si>
  <si>
    <t>Dgm</t>
  </si>
  <si>
    <t>Si a alguien le interesa saber lo fascista, homofobo e intolerante que es @Santi_ABASCAL , aquí tiene la oportunidad. @anarosaq ha debido quedar horrorizada de charlar con un monstruo así. RT @elprogramadear: La entrevista completa de Santiago Abascal, líder de Vox la podéis ver aquí #AbascalAR</t>
  </si>
  <si>
    <t>https://twitter.com/elprogramadear/status/1070286362291650566
http://bit.ly/2BREyax</t>
  </si>
  <si>
    <t>https://pbs.twimg.com/media/DtprvnqWoAAa7ZL.jpg</t>
  </si>
  <si>
    <t>Nueva maniobra de los comunistas radicales de Twitter amordazando, esta vez, a @Fserranocastro. Pero a las amenazas de la ultraizquierda violenta no les pasa nunca nada. @vox_es o @santi_abascal ¿serán los próximos?</t>
  </si>
  <si>
    <t>https://okdiario.com/espana/2018/12/05/twitter-censura-numero-1-vox-andalucia-cierra-cuenta-del-juez-serrano-exito-electoral-3432722#.XAgJ-VPoaq0.twitter</t>
  </si>
  <si>
    <t>Ramón Martínez</t>
  </si>
  <si>
    <t>Qué cachondos los de @laSextaTV! Rotulan "La voz de los ultras", uno espera oír a @Pablo_Iglesias_ y le colocan a @Santi_ABASCAL. ¡Ay, pillines! ¡Qué el agitador social lleva coleta! De momento, al menos.</t>
  </si>
  <si>
    <t>https://pbs.twimg.com/media/Dtq3W-dXcAA71zo.jpg</t>
  </si>
  <si>
    <t>San Vicente del Raspeig, España</t>
  </si>
  <si>
    <t>De Novelda a Salamanca y de ahí a medio mundo para, pasando por Monforte del Cid, llegar a San Vicente del Raspeig; y de ahí...</t>
  </si>
  <si>
    <t>http://ramonmartinezpiqueres.blogspot.com</t>
  </si>
  <si>
    <t>Fatima iglesias</t>
  </si>
  <si>
    <t>Los medios de comunicación no garantizan el derecho a la información dice @Santi_ABASCAL . Los ciudadanos pueden informarse por las redes. Alguien debería explicarle que los Twiteros no son periodistas. Solo los profesionales pueden garantizar una información veraz.</t>
  </si>
  <si>
    <t>Analista televisión y radio. Directora de Comunicacion. Antes subdirectora y jefa de economía en A3. Tras años de silencio recuperó Twitter y la palabra.</t>
  </si>
  <si>
    <t>http://www.linkedin.com/in/fatima-iglesias-41168152</t>
  </si>
  <si>
    <t>MÁLAGA IMPECABLE</t>
  </si>
  <si>
    <t>VIVA 🇪🇸 Pero 🤢🤮@vox_es y @Santi_ABASCAL</t>
  </si>
  <si>
    <t>malagaimpecable@gmail.com</t>
  </si>
  <si>
    <t>http://www.malagaimpecable.com</t>
  </si>
  <si>
    <t>Guido Fawkes</t>
  </si>
  <si>
    <t>Hasta que se demuestre lo contrario,@Santi_ABASCAL es un hombre honrado. RT @Lamismamente: ¿Julio Anguita? De extrema derecha también</t>
  </si>
  <si>
    <t>https://twitter.com/Lamismamente/status/1070042268734840832</t>
  </si>
  <si>
    <t>pic.twitter.com/ffcVBQi5H1</t>
  </si>
  <si>
    <t>Alcafrán,Wichita</t>
  </si>
  <si>
    <t>Libre pensador, politicamente incorrecto.</t>
  </si>
  <si>
    <t>La entrevista completa de Santiago Abascal lider de Vox  vía @YouTube simplemente genial!!!! @vox_es @Santi_ABASCAL</t>
  </si>
  <si>
    <t>Latigator</t>
  </si>
  <si>
    <t>Vergonzoso subtítulo de los fascistas de La Secta @laSextaTV en la comparecencia de @Santi_ABASCAL en televisión. De Podemos no dicen nunca que sean ultras, no.</t>
  </si>
  <si>
    <t>https://pbs.twimg.com/media/Dtq2uyUWoAA6PDg.jpg</t>
  </si>
  <si>
    <t>Azarías</t>
  </si>
  <si>
    <t>Vaya con @laSextaTV A @Santi_ABASCAL le llaman la "La voz de los ultras" Entonces a Pablo Iglesias, hay que llamarle "la voz de los asesinos"?? #VOX #VoxAbascal</t>
  </si>
  <si>
    <t>https://pbs.twimg.com/media/Dtq2jNZWsAInuxz.jpg</t>
  </si>
  <si>
    <t xml:space="preserve">Compeñero de celda de Oriol </t>
  </si>
  <si>
    <t>JH1</t>
  </si>
  <si>
    <t>Hace años conocí a @Santi_ABASCAL, concretamente cuando creamos la Delegación de @fdenaes en Zaragoza He leído el programa de @vox_es y no veo #ultraderecha o #xenofobia Los únicos fascistas que hoy existen en la política española son los apoyos del #OkupaDeLaMoncloa 🇪🇸 RT @ElenaMoren_: Tras leer las 100 medidas del programa de VOX, no he encontrado indicios de ultraderechismo o xenofobia. Pido que indiquen en qué punto encontráis ultraderechismo para discutirlo usando la razón y desde el respeto. Que comience el debate.</t>
  </si>
  <si>
    <t>https://twitter.com/ElenaMoren_/status/1069893612878684161</t>
  </si>
  <si>
    <t>He visto esta tarde la entrevista de @anarosaq a @Santi_ABASCAL. Me ha horrorizado que cuando han dicho el número de denuncias falsas, Ana Rosa haya dicho que era muy poco, como insinuando que bueno, que sí, que hay hombres que pueden estar en la cárcel injustamente pero da igual</t>
  </si>
  <si>
    <t>El líder de EH Bildu asegura que el problema del "fascismo" no reside solo en la formación de @Santi_ABASCAL, sino en "todas las derechas españolas"</t>
  </si>
  <si>
    <t>https://www.elindependiente.com/politica/2018/12/05/otegi-pide-no-poner-tanto-foco-vox-situarlo-casado/?utm_source=share_buttons&amp;utm_medium=twitter&amp;utm_campaign=social_share2</t>
  </si>
  <si>
    <t>Dani</t>
  </si>
  <si>
    <t>2ª acepción de "matrimonio" de la @RAEinforma : "En determinadas legislaciones, unión de dos personas del mismo sexo, concertada mediante ciertos ritos o formalidades legales, para establecer y mantener una comunidad de vida e intereses". 😉 @Santi_ABASCAL @vox_es RT @elprogramadear: .@Santi_ABASCAL : "El matrimonio es la unión entre un hombre y una mujer" @vox_es #AbascalAR</t>
  </si>
  <si>
    <t>Sevilla, Andalucía, Spain</t>
  </si>
  <si>
    <t>20. Estudios Ingleses US 🇬🇧🇺🇸| Little Monster since 2009 | Gaga follows &amp; liked my tweet ✨ artRAVE BCN- 8/NOV/14 | Joanne World Tour BCN 14/01/18 ❤️</t>
  </si>
  <si>
    <t>http://www.instagram.com/danilittlemonster16</t>
  </si>
  <si>
    <t>Marcos Moya</t>
  </si>
  <si>
    <t>Entrevista completa del líder de @vox_es, @Santi_ABASCAL, en el programa de Ana Rosa Quintana. Sinceridad y claridad, frente a la manipulación mediática. #VOXÚtil RT @elprogramadear: La entrevista completa de Santiago Abascal, líder de Vox la podéis ver aquí #AbascalAR</t>
  </si>
  <si>
    <t>Educando como padre; colaborando como persona; amando como hombre y errando como humano. #HistoriadeEspaña 🇪🇸✝👑💚</t>
  </si>
  <si>
    <t>Antológica</t>
  </si>
  <si>
    <t>Discrepo en algunos puntos del programa de @vox_es pero, por favor, decidme que @Santi_ABASCAL no está casado y que tengo alguna posiblidad. #vascoteniaqueser</t>
  </si>
  <si>
    <t>pic.twitter.com/b6rn3JXmOw</t>
  </si>
  <si>
    <t>Vila de Gracia, Barcelona</t>
  </si>
  <si>
    <t>Me hago responsable de lo que digo, no de lo que entiendas. ➡️Acta est fabula⬅️</t>
  </si>
  <si>
    <t>Eloísa de Dios</t>
  </si>
  <si>
    <t>Dice @Santi_ABASCAL que no van a “utilizar dinamita para acabar con las autonomías”. Ya me quedo más tranquila. #Vox</t>
  </si>
  <si>
    <t>Periodista. Ahora en @espejopublico @a3noticias</t>
  </si>
  <si>
    <t>⛔Barreiros⛔</t>
  </si>
  <si>
    <t>Ferreras mata a Echenique con el arma de Anguita tras acusar el podemita a Santi Abascal de ir con pistola</t>
  </si>
  <si>
    <t>⛔Soy el antisistema de los antisistema⛔</t>
  </si>
  <si>
    <t>.@Pnique critica a @Santi_Abascal por haber llevado pistola y se lleva un #zasca: Anguita también la llevó y por la misma razón que el líder de @vox_es</t>
  </si>
  <si>
    <t>http://ww.cope.es/khu0i2</t>
  </si>
  <si>
    <t>Señor @Santi_ABASCAL como usted cierre @canalsur, que sepa que no le vuelve a votar en Andalucía ni una persona mayor en la vida. Quitarle la copla y Juan y Medio es un suicidio político!!</t>
  </si>
  <si>
    <t>Un poquito de humor en esta vida. Si me queréis, seguidme!! Retuitear no cuesta dinero!! 😑👊</t>
  </si>
  <si>
    <t>Erasimbolico</t>
  </si>
  <si>
    <t>Qué quieres que te diga, oigo a @Santi_ABASCAL exponer sus propuestas para Andalucía y todas ellas se postulan como reformas legales, con arreglo a los cauces normativos vigentes. Vaya mierda de fascismo no? Ojalá aquí en Cataluña lo hubieran hecho conforme a la ley.</t>
  </si>
  <si>
    <t xml:space="preserve">Lérida. España </t>
  </si>
  <si>
    <t>Cada vez que me llaman fascista, viendo quién me lo dice, me siento más demócrata. Bloqueo a la merma amarilla.</t>
  </si>
  <si>
    <t>Este es nuestro Santi Abascal, q se enteren los piojosos de Podemos.</t>
  </si>
  <si>
    <t>pic.twitter.com/WO1lGehXTQ</t>
  </si>
  <si>
    <t>J.Carlos Navarro ☕</t>
  </si>
  <si>
    <t>La ministra de Transición Ecológica aboga por la prohibición de los toros y la caza: "Me gustan los animales vivos"  Más votos para VOX, al final van a hacer Presidente a @Santi_ABASCAL 😂😂😂</t>
  </si>
  <si>
    <t>https://www.elmundo.es/cultura/toros/2018/12/05/5c079391fdddff5b688b4681.html</t>
  </si>
  <si>
    <t>Estepona</t>
  </si>
  <si>
    <t>Casado, 3 hijas preciosas, Ingeniero Técnico Informático, autónomo, NBA y Biwenger Fan. Trabajo en @OnbyteTech</t>
  </si>
  <si>
    <t>http://www.onbyte.es</t>
  </si>
  <si>
    <t>jose rivela rivela</t>
  </si>
  <si>
    <t>Entrevista a @Santi_ABASCAL @vox_es Superaremos a los comunistas (la ideología más asesina: creó a los mayores asesinos en serie) en los próximos capítulos .</t>
  </si>
  <si>
    <t>https://pbs.twimg.com/media/DtqyjTLW0AIkK4h.jpg</t>
  </si>
  <si>
    <t>Naci por casualidad (como casi todo en la vida) en Parada del Sil (Orense. España) en 1956 y actualmente trabajo como maestro de dibujo en el IES de Celanova</t>
  </si>
  <si>
    <t>http://joserivela.blogspot.com</t>
  </si>
  <si>
    <t>Alternativa VOX 🇪🇸</t>
  </si>
  <si>
    <t>📺 @Santi_ABASCAL en @elprogramadear 💭 “Frente a los que quieren la disolución de España en Europa nosotros defendemos una Europa de las naciones. Queremos una Europa en la que las naciones tengan mayor soberanía” #AbascalAR</t>
  </si>
  <si>
    <t>https://pbs.twimg.com/media/DtqxyqiXQAAodwY.jpg</t>
  </si>
  <si>
    <t>Cuenta de apoyo a VOX. Cuenta no oficial</t>
  </si>
  <si>
    <t>Más comentados ahora en Derecha/Centro Dcha.: ➀ @ahorapodemos ↓ ➁ @Albert_Rivera ↓ ➂ @JosPastr ↑ ➃ @ldpsincomplejos ↑ ➄ @Santi_ABASCAL ↑ ➅ @josepramonbosch ↓ ➆ @vox_es ↑ ➇ @elmundoes ↓ ➈ @PPopular ↑</t>
  </si>
  <si>
    <t>VOX Campiña Baja</t>
  </si>
  <si>
    <t>Os dejamos el enlace a la entrevista completa realizada está mañana a @Santi_ABASCAL por Ana Rosa Quintana #EspañaViva</t>
  </si>
  <si>
    <t>https://youtu.be/xh72exxWHqA</t>
  </si>
  <si>
    <t>Uceda, España</t>
  </si>
  <si>
    <t>Perfil Oficial de VOX de la comarca de La Campiña Baja (Guadalajara). #Españaloprimero #EspañaViva campinabaja@guadalajara.voxespana.es</t>
  </si>
  <si>
    <t>https://www.voxespana.es/guadalajara</t>
  </si>
  <si>
    <t>Más influyentes ahora en Derecha/Centro Dcha.: ➀ @JosPastr ↑ ➁ @Albert_Rivera ↑ ➂ @ldpsincomplejos ↑ ➃ @josepramonbosch ↓ ➄ @Santi_ABASCAL ↑ ➅ @elmundoes ↓ ➆ @javiernegre10 ↓ ➇ @alonso_dm ↑ ➈ @juanchoex</t>
  </si>
  <si>
    <t>💡🔱🔱💡</t>
  </si>
  <si>
    <t>Hay que ser hijoputa y minusválido psíquico. Si hubieses pasado la mitad de lo que pasó @Santi_ABASCAL hablarias con más respeto. Eres basura humana @pnique RT @pnique: ESPECTACULAR los jóvenes en Sevilla plantando cara al fascismo. El país del 15M y el 8M no va a permitir que nos roben el futuro los que defienden a la banca y a los buitres. Lleven corbata y se llamen Casado o Rivera o lleven pistola y se llamen Abascal. 💪</t>
  </si>
  <si>
    <t>https://twitter.com/pnique/status/1069677893050093569</t>
  </si>
  <si>
    <t>pic.twitter.com/iIRUJHWcB8</t>
  </si>
  <si>
    <t>La rebeldía por naturaleza y el inconformismo por convicción.Vivo en constante contradicción conmigo mismo</t>
  </si>
  <si>
    <t>Carlos Barrio</t>
  </si>
  <si>
    <t>Como políticos, tanto @Pablo_Iglesias_ como @Santi_ABASCAL deberían dejar de incendiar. Su labor es más llegar a acuerdos y consensos entre distintos puntos de vista e ideologías RT @Santi_ABASCAL: Después de que hordas comunistas empujadas por Pablo Iglesias aullaran pidiendo descuartizar "a pedazos" a los miembros de VOX, vemos como hay periodistas señalando direcciones y a familiares de candidatos. Tomamos nota. Pero ya advertimos: serán culpables de las consecuencias.</t>
  </si>
  <si>
    <t>Sigue a este Soriano, o... no. Ingeniero, Coach ejecutivo, formador en empresas, emprendedor y monologuista/impro. Su abuela no sabe muy bien a qué se dedica.</t>
  </si>
  <si>
    <t>https://www.youtube.com/watch?v=mnZtk1O8TMo</t>
  </si>
  <si>
    <t>J. Á. P. S.</t>
  </si>
  <si>
    <t>Lo de @Santi_ABASCAL esta mañana en el programa de Ana Rosa Quintana es de otro nivel. Otro millón de españoles que votarán a VOX. Sentido común, valentía y lealtad a una nación. Siempre.</t>
  </si>
  <si>
    <t>Torrelavega</t>
  </si>
  <si>
    <t>Amante del fútbol. Real Sociedad Gimnástica de Torrelavega y Glorioso Club Atlético de Madrid. Simpatizante del Real Racing Club de Santander. Moto GP! ✊💨</t>
  </si>
  <si>
    <t>Ángel Luis Llamas</t>
  </si>
  <si>
    <t>.@CiudadanosCs ya no puede causar más repugnancia entre el catalanismo consciente del tipo de autoritarismo que representa @vox_es. Valoran que un pacto con Vox sólo significaría la sustitución del @PPCatalunya por los de @Santi_ABASCAL sin tocar a Cs</t>
  </si>
  <si>
    <t>http://shr.gs/4Yk1ljg</t>
  </si>
  <si>
    <t>Aragon, Spain</t>
  </si>
  <si>
    <t>Cloud Walker (Nefelibata digital)</t>
  </si>
  <si>
    <t>Manuel Moreno</t>
  </si>
  <si>
    <t>La entrevista completa de Santiago Abascal, líder de Vox  vía @telecincoes aunque gracias a Pablo Iglesias estamos en un puto en el que decir públicamente tu opción política puede resultar peligroso, lo digo alto y claro. Yo votaré a @Santi_ABASCAL @vox_es</t>
  </si>
  <si>
    <t>José A. Villores 🇪🇸</t>
  </si>
  <si>
    <t>A ver si los medios no dicen tantas mentiras de @vox_es y de  @Santi_ABASCAL y por lo menos que lo dejen trabajar. Viva ESPAÑA 🇪🇸🇪🇸🇪🇸</t>
  </si>
  <si>
    <t>Utrera</t>
  </si>
  <si>
    <t>Si Sabes Que Tus Intenciones Fueron Dar Lo Mejor, No Tienes Nada Que Lamentarte.🏋</t>
  </si>
  <si>
    <t>Miembros de @vox_es estudian renunciar a su acta de diputados tras la aparicion de un video donde se amenaza a la formación. @Santi_ABASCAL en declaraciones a distintos medios, dice sentirse intimidado y podría abandonar la dirección del partido esta misma semana @CristinaSegui_</t>
  </si>
  <si>
    <t>pic.twitter.com/CNec2JCBlZ</t>
  </si>
  <si>
    <t>Pepenberg Shelby</t>
  </si>
  <si>
    <t>Santi Abascal: "El matrimonio es la unión entre un hombre y una mujer", "La violencia de género es culpa de los extranjeros". Pero no es ni homófobo, ni xenófobo, que me lo ha dicho una tuitera que se ha leído las 100 medidas del programa de Vox.</t>
  </si>
  <si>
    <t>Buscando a Craig Thomson</t>
  </si>
  <si>
    <t>Sin fútbol, baloncesto, cine y sin cerveza, Pepe pierde la cabeza. Pecador de la pradera.</t>
  </si>
  <si>
    <t>El valiente @Santi_ABASCAL. Recordad @elprogramadear RT @Vityspain: Porque la valentía no le ha venido ahora a @Santi_ABASCAL, hizo frente en Llodio a todos los que le quisieron amedrentar y además ya la heredó de su padre @vox_es el partido de los valientes, la esperanza de España. @PPopular @CiudadanosCs @FSerranoCastro</t>
  </si>
  <si>
    <t>https://twitter.com/Vityspain/status/1070357902395891712
https://youtu.be/S8_g6JS2z24</t>
  </si>
  <si>
    <t>Porque la valentía no le ha venido ahora a @Santi_ABASCAL, hizo frente en Llodio a todos los que le quisieron amedrentar y además ya la heredó de su padre @vox_es el partido de los valientes, la esperanza de España. @PPopular @CiudadanosCs @FSerranoCastro</t>
  </si>
  <si>
    <t>Mapi</t>
  </si>
  <si>
    <t>Madre mía el machismo y la pistola de @Santi_ABASCAL #VoxAvanza</t>
  </si>
  <si>
    <t>pic.twitter.com/JFCfZkJocB</t>
  </si>
  <si>
    <t>Let It bleed. ÉL❤️</t>
  </si>
  <si>
    <t>Hipatia Basatia</t>
  </si>
  <si>
    <t>Santi, la reconquista se produjo de norte a sur. Esta vez has tenido que empezar al revés porque sabes que el norte no lo vas a pisar. @Santi_ABASCAL #laresistencia @vox_es #aurreanizangogaituzu</t>
  </si>
  <si>
    <t>Alexandria</t>
  </si>
  <si>
    <t>The truth does not change depending on if it is believed or not by a majority of people.</t>
  </si>
  <si>
    <t>Lleva tiempo pensando en ello. Por eso vota a vox, porque santi abascal no lleva viviendo del cuento más de la mitad de su vida ni nada de eso. RT @LaBella_2017: Llevo tiempo pensando sobre ello, cabreándome, resignándome, pero hasta hoy, NO a las rentas vitalicias de los políticos</t>
  </si>
  <si>
    <t>https://twitter.com/LaBella_2017/status/926733363930648576</t>
  </si>
  <si>
    <t>https://pbs.twimg.com/media/DNxrFGmW4AAKppz.jpg</t>
  </si>
  <si>
    <t>Javier Negre</t>
  </si>
  <si>
    <t>Gran entrevista de la maestra @anarosaq en el @elprogramadear a un líder que está en boca de todos: @Santi_ABASCAL de @vox_es Merece la pena ver el duelo dialéctico que han tenido en @telecincoes</t>
  </si>
  <si>
    <t>https://www.telecinco.es/elprogramadeanarosa/santiago-abascal-entrevista_0_2670150013.html</t>
  </si>
  <si>
    <t>Periodista de investigación de El Mundo, Informe Negre en Herrera en Cope, El Programa de Ana Rosa, Ya es mediodía (T5), El Cascabel (13 TV) y 120 min (Tmadrid)</t>
  </si>
  <si>
    <t>Clementina</t>
  </si>
  <si>
    <t>Anímo a @Pablo_Iglesias_ Y @sanchezcastejon a continuar haciendo la campaña a @VoxEspana Y @Santi_ABASCAL gracias a ellos sus seguidores crecen a la velocidad de la luz .</t>
  </si>
  <si>
    <t>https://pbs.twimg.com/media/DtqrDBwWwAIHhQ6.jpg</t>
  </si>
  <si>
    <t>Vive y deja vivir</t>
  </si>
  <si>
    <t>ClavedeSole</t>
  </si>
  <si>
    <t>Abascal no va a hacer los presupuestos, no tiene ningún interés en quedarse con las teles, no quiere cargos, ni el CNI, ni cargarse la monarquía… en fin, que comparado con #PabloIglesias negociar con @Santi_Abascal es una balsa de aceite  @libertaddigital</t>
  </si>
  <si>
    <t>https://www.libertaddigital.com/espana/2018-12-05/la-llamada-de-pablo-iglesias-a-la-violencia-contra-las-urnas-da-miedo-quien-es-el-fascista-1276629392/</t>
  </si>
  <si>
    <t>La batalla contra la mediocridad y el amor al prójimo cada dia se transforma en un nuevo reto En busca de la excelencia. La Sociedad Civil organizada otra tarea</t>
  </si>
  <si>
    <t>Este tio a mi me tiene ganado chapo por @vox_es chapó por @Santi_ABASCAL y Ojalá se le deje trabajar y que no digan tantas mentiras los medios de comunicación y no hagan montajes ni nada del otro mundo y asustar a los ciudadanos con cosas q el no dice ttps://youtu.be/EdpZF3nLMF8</t>
  </si>
  <si>
    <t>Calcium trumpetman</t>
  </si>
  <si>
    <t>Brujería contra el fascismo. La izquierda estamos perdidos. (Aunque de ahí sale una historia ficticia tremenda. Santi Abascal as Voldemort, total la temática racista y totalitaria ya estaba en Harry Potter) RT @AuradeCristal87: Antes de que me saltéis a la yugular como hicistéis con la pobre @bitter_violett por proponer utilizar la magia contra el fascismo dire dos cosas. 1º Que esto no quita la participación activa en el activismo politico 2º que si otras religiones rezan para poder protección</t>
  </si>
  <si>
    <t>https://twitter.com/AuradeCristal87/status/1069935512427876352</t>
  </si>
  <si>
    <t>they/them, cualquier pronombre</t>
  </si>
  <si>
    <t>http://instagram.com/automatonNick</t>
  </si>
  <si>
    <t>Alfonso ☕🥐</t>
  </si>
  <si>
    <t>Lo tienes jodido, @Santi_ABASCAL. RT @AuradeCristal87: Lo primero niñes mies haceros amuletos, en este caso mas que usar piedras o símbolos protectores de malas energías yo usaría piedras vinculadas al chackra base y la supervivencia. Jaspes rojos, rubíes, granates o ojo de tigre ferroso serian los mejores.</t>
  </si>
  <si>
    <t>https://twitter.com/AuradeCristal87/status/1069935516714446848</t>
  </si>
  <si>
    <t>pic.twitter.com/3t4MrLeKWl</t>
  </si>
  <si>
    <t>Calle E. Macondo</t>
  </si>
  <si>
    <t>Trumps like us, baby, we were born to run. Efectiviwonder.</t>
  </si>
  <si>
    <t>pilar</t>
  </si>
  <si>
    <t>Merece la pena verla. Sincero, valiente, sin eludir preguntas, humilde, mirando de frente, respetuoso, serio y con muchas aclaraciones ante tanta locura. Ahora, que sigan sacando las cosas de contexto. Suerte!! #EspañaViva @vox_es @Santi_ABASCAL</t>
  </si>
  <si>
    <t>Hay algo que da esplendor a todo cuanto existe, y es encontrar ilusión a la vuelta de la esquina.</t>
  </si>
  <si>
    <t>Dj Maxxiimus</t>
  </si>
  <si>
    <t>Musica para tus oidos</t>
  </si>
  <si>
    <t>http://www.youtube.com/user/MaxXiiMusHD</t>
  </si>
  <si>
    <t>Agustín Romero Encinas ✡🔻⚑</t>
  </si>
  <si>
    <t>https://www.moncloa.com/etb-vox-yunque-iran-abascal/#.XAf7yNdlWow.twitter</t>
  </si>
  <si>
    <t>Debuto en el universo literario con Amarás a tu prójimo. Me apasiona la ciencia y la Historia. Estoy hechizado por la Naturaleza.</t>
  </si>
  <si>
    <t>Solo falta que alguno de los etarras que echó a patadas de Llodio a @Santi_ABASCAL lo llame terrorista. ¿Qué cojones fumáis? ¿El CIS enrrollao?</t>
  </si>
  <si>
    <t>Napoleon Dainamait</t>
  </si>
  <si>
    <t>Santi vuelve a ser progre. El del bate es Abascal.</t>
  </si>
  <si>
    <t>https://pbs.twimg.com/media/Dtqn8eNWkAMuJ3q.jpg</t>
  </si>
  <si>
    <t>Sexador de caracoles. Orgulloso laísta [NO]. La turra es en la otra ventanilla. Tengo muchos gatos. A ratos @nosoynapoleon</t>
  </si>
  <si>
    <t>https://bit.ly/19hEuNb</t>
  </si>
  <si>
    <t>David</t>
  </si>
  <si>
    <t>La vida laboral de @Santi_ABASCAL. RT @Twitter: ⠀ ⠀ ⠀ ⠀ ⠀ ⠀ ⠀ ⠀ ⠀ ⠀ ⠀ ⠀ ⠀ ⠀ ⠀ ⠀ ⠀ ⠀ ⠀ ⠀ ⠀ ⠀ ⠀ ⠀ ⠀ ⠀ ⠀ ⠀ ⠀ ⠀ ⠀ ⠀ ⠀ ⠀ ⠀ ⠀ ⠀ ⠀ ⠀ ⠀ ⠀ ⠀ ⠀ ⠀ ⠀ ⠀ ⠀ ⠀ ⠀ ⠀ ⠀ ⠀ ⠀ ⠀ ⠀ ⠀ ⠀ ⠀ ⠀ ⠀ ⠀ ⠀ ⠀ ⠀ ⠀ ⠀ ⠀ ⠀ ⠀ ⠀ ⠀ ⠀ ⠀ ⠀ ⠀ ⠀ ⠀ ⠀⠀⠀⠀⠀⠀⠀⠀⠀⠀⠀⠀⠀⠀⠀⠀⠀⠀⠀⠀⠀⠀⠀⠀</t>
  </si>
  <si>
    <t>https://twitter.com/Twitter/status/1068174887372632066</t>
  </si>
  <si>
    <t>Muy del @AthleticClub. Amor por lo random. También me quejo de cosas.</t>
  </si>
  <si>
    <t>http://flightradar24.com</t>
  </si>
  <si>
    <t>Andrés Santo #EspañaLoPrimero</t>
  </si>
  <si>
    <t>Hay que tener y dejar claro que @vox_es no es #fascista, ni mucho menos lo es @Santi_ABASCAL pero es un movimiento de corte nacional y social. Y ese es el único camino que hay tanto en #España, como en #Europa. #LaHoraDeLosPatriotas #VoxUtil #EspañaLoPrimero</t>
  </si>
  <si>
    <t>https://pbs.twimg.com/media/DtqnDurXcAIhA9Y.jpg</t>
  </si>
  <si>
    <t>🇪🇸Fundador de Unión de Patriotas / Simpatizante de @vox_es/ Frente Nacional de Le Pen /@FratellidItaIia de @GiorgiaMeloni /Análisis Político y Social/CCPP-UNED</t>
  </si>
  <si>
    <t>jano_</t>
  </si>
  <si>
    <t>La intelectual Ana Rosa Quintana en la entrevista con @Santi_ABASCAL le dice que Franco creó la Ley de Vagos y Maleantes (ojo, en 1933) y que este año no ha habido hombres asesinados por sus parejas. Y este es el nivel del periodismo. @Santi_ABASCAL, prepara mejor los temas.</t>
  </si>
  <si>
    <t>¡Dios te libre de tiempos históricamente interesantes!</t>
  </si>
  <si>
    <t>Piluka</t>
  </si>
  <si>
    <t>Cada vez más convencida de votar a @vox_es para que @Santi_ABASCAL sea presidente de España🇪🇸 RT @libertaddigital: Otegi apela a "los demócratas españoles" para crear "una alianza antifascista"</t>
  </si>
  <si>
    <t>3 CHAMPIONS consecutivas, 13 en TOTAL... entiendo tu envidia🙄 ¡HALA MADRID!</t>
  </si>
  <si>
    <t>➡️ Ana Rosa Quintana (en #AbascalAR): ¿Es verdad que usted lleva pistola? ➡️ Santi_ABASCAL (vox_es): "De los temas de seguridad creo que es mejor no hablar"</t>
  </si>
  <si>
    <t>https://pbs.twimg.com/media/DtqnldbWsAAFctU.jpg</t>
  </si>
  <si>
    <t>Entrevista a @Santi_ABASCAL en @telecincoes @anarosaq @Ortega_Smith @FSerranoCastro @vox_es @VOX_Jaen</t>
  </si>
  <si>
    <t>Darle normalidad a un partido de extrema derecha tal como @vox_es dándole minutos en televisión y sabiendo las cosas que dice ( "LLENAREMOS LAS CUNETAS DE INDEPENDENTISTAS") ES VERGONZOSO @elprogramadear @telecincoes @Santi_ABASCAL #ExtremaDerecha #Fascismo</t>
  </si>
  <si>
    <t>Menorca es España🇪🇸🇪🇸</t>
  </si>
  <si>
    <t>Cuando cuentas la historia como és, y un "fascista" no le gusta pasa esto...@Santi_ABASCAL @voxnoticias_es @Ortega_Smith.... que podeis decir?</t>
  </si>
  <si>
    <t>https://pbs.twimg.com/media/DtqmyK8X4AE5zMj.jpg</t>
  </si>
  <si>
    <t>Roger Crunch</t>
  </si>
  <si>
    <t>Me está costando mucho acabar la página dedicada a Santi Abascal que estoy haciendo para el próximo nº de la Revista Mongolia porque me da la risa floja y así no hay quien curre.</t>
  </si>
  <si>
    <t>ABERRANDO QUE ES GERUNDIO</t>
  </si>
  <si>
    <t>http://aberrandoqueesgerundio.blogspot.com.es</t>
  </si>
  <si>
    <t>España siempre estará en deuda con Ramírez Sunyer por su trabajo en defensa d la legalidad en Cataluña y los derechos d todos los españoles @Ortega_Smith @vox_es @Santi_ABASCAL @ivanedlm @monasterioR RT @PoderJudicialEs: El @PoderJudicialEs informa a favor de conceder al juez Ramírez Sunyer la Cruz de San Raimundo de Peñafort a título póstumo. La propuesta fue hecha por el @tsj_cat a petición de la Junta de Jueces de lo Penal de Barcelona</t>
  </si>
  <si>
    <t>https://twitter.com/PoderJudicialEs/status/1070347434159730688
http://www.poderjudicial.es/cgpj/es/Poder-Judicial/En-Portada/El-CGPJ-informa-a-favor-de-conceder-al-juez-Ramirez-Sunyer-la-Cruz-de-San-Raimundo-de-Penafort-a-titulo-postumo</t>
  </si>
  <si>
    <t>CachonDog</t>
  </si>
  <si>
    <t>¿Podría intentar @anarosaq la próxima vez, dejar a su invitado @Santi_ABASCAL que se explique, y no interrumpirle dos mil veces?</t>
  </si>
  <si>
    <t>Sarcasmo, ironía y a veces veneno</t>
  </si>
  <si>
    <t>El líder de @vox_es @Santi_ABASCAL junto con su equipo están haciendo las cosas muy bien y gracias a ellos hay esperanza e ilusión entre los españoles de que la reconquista de España y la rebelión de las clases medias y trabajadoras es posible frente a la clase política mediocre.</t>
  </si>
  <si>
    <t>https://pbs.twimg.com/media/DtqlgogW4AEpTHc.jpg</t>
  </si>
  <si>
    <t>Moninuez</t>
  </si>
  <si>
    <t>Mira, @Santi_ABASCAL, tienes razón: no hay violencia de género, solo monjas que claman.</t>
  </si>
  <si>
    <t>https://m.eldiario.es/323ad35a_842715994/</t>
  </si>
  <si>
    <t>Dudo de que haya que tomarse esto en serio. Trabajo y escribo, o viceversa. / Not sure about if we should take this seriously. I work and write, or vice versa.</t>
  </si>
  <si>
    <t>http://porlanocherefresca.wordpress.com</t>
  </si>
  <si>
    <t>Alberto Cabello Mayero</t>
  </si>
  <si>
    <t>Aprovecho para contaros que una vez Santi Abascal me saludó siendo miembro de una mesa electoral. Me quedé con el culo torcido, eso sí. La pobre interventora de EH Bildu no sabía quién era. Angelico...</t>
  </si>
  <si>
    <t>Vitoria-Gasteiz, España</t>
  </si>
  <si>
    <t>Profesional de las redes sociales. Fotografía, humor, comunicación, marketing, música y gilipolleces varias. 100% libre e informal</t>
  </si>
  <si>
    <t>http://www.pixelillo.com</t>
  </si>
  <si>
    <t>Ni Pío Baroja 🕳</t>
  </si>
  <si>
    <t>Aquí está la entrevista de Ana Rosa Quintana a Santiago Abascal para los que quieran verla y poder comprobar que las propuestas de Vox no son lo que cuentan los medios manipuladores. Por cierto, @Santi_ABASCAL ha estado bastante bien.  #TiempoPactosARVRT @elprogramadear: La entrevista completa de Santiago Abascal, líder de Vox la podéis ver aquí #AbascalAR</t>
  </si>
  <si>
    <t>https://twitter.com/elprogramadear/status/1070286362291650566?s=19
http://bit.ly/2BREyax</t>
  </si>
  <si>
    <t>Cortaccia sulla Strada del Vin</t>
  </si>
  <si>
    <t>Dejemos las conclusiones para los idiotas. Un día me morí... ahora he resucitado. Perito en sofás y muy fan de las distopías.</t>
  </si>
  <si>
    <t>Ángel López  Beltrán</t>
  </si>
  <si>
    <t>Cruzarte con @Santi_ABASCAL y que se pare a recibir la enhorabuena y sin problemas con él y hacerlo con otros que enseguida te dicen es que esto no me gusta o otro es que tengo que cambiar ticket del coche y pasen de la gente. 👍👍👏👏</t>
  </si>
  <si>
    <t>Alcalá de Henares (Madrid )</t>
  </si>
  <si>
    <t>Asesor Inmobiliario</t>
  </si>
  <si>
    <t>Más comentados ahora en Derecha/Centro Dcha.: ➀ @ahorapodemos ↓ ➁ @Albert_Rivera ↓↓ ➂ @Santi_ABASCAL ↑ ➃ @sanchezcastejon ↑ ➄ @vox_es ↑ ➅ @ldpsincomplejos ↓ ➆ @JosPastr ↓ ➇ @elmundoes ↑ ➈ @josepramonbosch ↑</t>
  </si>
  <si>
    <t>Más influyentes ahora en Derecha/Centro Dcha.: ➀ @Albert_Rivera ↓ ➁ @Santi_ABASCAL ↓ ➂ @ldpsincomplejos ↓ ➃ @JosPastr ↓ ➄ @josepramonbosch ↑ ➅ @elmundoes ↑ ➆ @javiernegre10 ↓ ➇ @alonso_dm ↑↑↑ ➈ @Miotroyo2parte ↑</t>
  </si>
  <si>
    <t>Mientras @Pablo_Iglesias_ llama a la violencia porque no le gustan los votos...... @ierrejon le cuestiona, @TeresaRodr_ le desautoriza y los foros de militancia arden contra él. Quizás el problema de @ahorapodemos no es @vox_es ni @Santi_ABASCAL sino el mismo @Pablo_Iglesias_</t>
  </si>
  <si>
    <t>https://pbs.twimg.com/media/DtqjBukXcAIhh7I.jpg</t>
  </si>
  <si>
    <t>SANTI ABASCAL carga contra MANUELA CARMENA. ¿Qué opina VOX de las FRONTE...  vía @YouTube</t>
  </si>
  <si>
    <t>https://youtu.be/WVk6--jHJ70</t>
  </si>
  <si>
    <t>Oye @Santi_ABASCAL para querer eliminar las autonomías, bien que te lucraste con la de Madrid y tus mamandurrias con Esperanza Aguirre...campeón</t>
  </si>
  <si>
    <t>Ralph Saxxon</t>
  </si>
  <si>
    <t>La caverna izquierdosa ya estaba intentando enguarrar el pasado de @Santi_ABASCAL</t>
  </si>
  <si>
    <t>pic.twitter.com/Ceu3k3lmbE</t>
  </si>
  <si>
    <t>🇪🇸🇪🇸🇪🇸 Fabricante de osos de peluche.</t>
  </si>
  <si>
    <t>José Damiá</t>
  </si>
  <si>
    <t>Entrevista a @Santi_ABASCAL</t>
  </si>
  <si>
    <t>El_TylerDurden</t>
  </si>
  <si>
    <t>Entended que se lo debía… que serían de los memes, de los míos de mierda, sin ÉL. MARRY ME @Santi_ABASCAL!</t>
  </si>
  <si>
    <t>https://pbs.twimg.com/media/DtqhzifX4AIgtjd.jpg</t>
  </si>
  <si>
    <t>Hawaii, USA</t>
  </si>
  <si>
    <t>Perder toda esperanza es ganar la libertad. Y otras mierdas baratas parecidas. Enfermemero de noche, capullo 24/7. Hago tortitas en @ECDLMM</t>
  </si>
  <si>
    <t>https://twitter.com/el_tylerdurden</t>
  </si>
  <si>
    <t>Max, joven gay🎄</t>
  </si>
  <si>
    <t>.@Santi_ABASCAL : "El matrimonio es la unión entre un hombre y una mujer"  Y esto pone VOX en su programa</t>
  </si>
  <si>
    <t>http://bitly.is/2E3iAmE</t>
  </si>
  <si>
    <t>https://pbs.twimg.com/media/DtqhajVWwAEVRcV.jpg</t>
  </si>
  <si>
    <t>Andalucía, España 🇪🇸🇪🇺</t>
  </si>
  <si>
    <t>Blog de un joven gay con ganas de defender los derechos 🌈LGTBI, la socialdemocracia 🌹 y el ecologismo🌻. Más humanismo 🌍 y menos nacionalismo. Cristi</t>
  </si>
  <si>
    <t>http://maxjovengay.blogspot.com.es/</t>
  </si>
  <si>
    <t>" @Santi_ABASCAL : «Sánchez no dura ni un minuto en La Moncloa si adelanta las elecciones»"  vía @ABCespana</t>
  </si>
  <si>
    <t>maya57</t>
  </si>
  <si>
    <t>Santiago Abascal: «Sánchez no dura ni un minuto en La Moncloa si adelanta las elecciones»  vía @ABCespana Santi la gente está harta en España de tanta hipocresía político social.</t>
  </si>
  <si>
    <t>En Arizona un tipo se ha disparado en los testiculos en un supermercado, por accidente. Direis lo que querais de las leyes españolas y del control de armas.. pero aqui solo se puede disparar en los huevos Santi Abascal.</t>
  </si>
  <si>
    <t>Víctor Link</t>
  </si>
  <si>
    <t>me alegro por fin que alguien deje explicarse y escuchar a @Santi_ABASCAL gracias @anarosaq por la entrevista que le has hecho!</t>
  </si>
  <si>
    <t>Español, madridista y políticamente incorrecto. Preocupado por el futuro de mi país. #VOX</t>
  </si>
  <si>
    <t>Santi Abascal con Jordi, follonero, en el bar de Salvador Monedero  vía @YouTube</t>
  </si>
  <si>
    <t>Mariskal De Castilla</t>
  </si>
  <si>
    <t>Buenisimo @Pablo_Iglesias_ @Santi_ABASCAL 🤣</t>
  </si>
  <si>
    <t>pic.twitter.com/gSYKXmYFCM</t>
  </si>
  <si>
    <t>a las afueras.</t>
  </si>
  <si>
    <t>Jurista; políticamente situado entre la derecha casposa y la izquierda rancia de España.</t>
  </si>
  <si>
    <t>📺 @Santi_ABASCAL analiza las claves de VOX: "No estamos preocupados en etiquetarnos ni en defendernos de los estigmas"  vía @telecincoes @elprogramadear</t>
  </si>
  <si>
    <t>La entrevista entera de @anarosaq a @Santi_ABASCAL y a pesar de que le buscan sólo encuentran a un líder valiente, claro, demócrata, español y sin miedo a la mediocridad del resto de partidos y líderes políticos, pero los Medios siguen insultado a @vox_es</t>
  </si>
  <si>
    <t>Lo que @pnique y @Pablo_Iglesias_ no han tenido que vivir ni luchar arriesgando su vida como @Santi_ABASCAL x ser demócrata, y ahora @ahorapodemos copian a la Kale Borroca de los Batasunos para agredir a @vox_es xq el resultado electoral no les gusta</t>
  </si>
  <si>
    <t>david redemption 2</t>
  </si>
  <si>
    <t>Abracadabra pata de cabra que Santi Abascal se convierta en vaca RT @AuradeCristal87: nosotras tenemos derecho a sacar la artillería mágica. En la segunda guerra mundial las brujas inglesas, las ordenes esotéricas y hasta churchil recurrieron a maldiciones contra el nazismo. Así que si no tenéis nada positivo que aportarnos calladitos estáis mas guapos,</t>
  </si>
  <si>
    <t>https://twitter.com/AuradeCristal87/status/1069935513749151744</t>
  </si>
  <si>
    <t>pic.twitter.com/w77LhrjnbM</t>
  </si>
  <si>
    <t>Salerno, Campania</t>
  </si>
  <si>
    <t>he nacido demasiado tarde para explorar la tierra y demasiado pronto para explorar el espacio, así que no me toquéis los huevos @cruisintibetano</t>
  </si>
  <si>
    <t>https://curiouscat.me/Itsevolutionbaby</t>
  </si>
  <si>
    <t>.@Santi_ABASCAL mira esta foto. pareces un imán de alguna mezquita del barrio de Tetuán. Qué pinta tienes, tio. Aféitate</t>
  </si>
  <si>
    <t>https://pbs.twimg.com/media/DtqeerEW4AIiX1i.jpg</t>
  </si>
  <si>
    <t>Ingeniero. Licenciado en Periodismo. Doctor en Investigación de Medios de Comunicación</t>
  </si>
  <si>
    <t>®LaManoNegradeHulio🇪🇸</t>
  </si>
  <si>
    <t>Héroe sin capa. Un Homenaje se merece éste héroe!! @Santi_ABASCAL @vox_es @AmigosVOXcadiz RT @cadiz_carnaval: Que pena de mi Cádiz...¿Cuna de la libertad? #OTDirecto5DIC La Manada #DiadelVoluntariado El CIS #TiempoPactosARV #AbascalAR O Grove #SomosLaAudiencia5D Kitchen</t>
  </si>
  <si>
    <t>https://twitter.com/cadiz_carnaval/status/1070331928824434690?s=19</t>
  </si>
  <si>
    <t>pic.twitter.com/7WxJXYP5jO</t>
  </si>
  <si>
    <t>Cuenta de humor cofrade, carnavalera, irónica, política y deportiva, que va en contra del buenismo. Crítica, pero siempre constructiva. Yo soy 🇪🇸</t>
  </si>
  <si>
    <t>M. Ronson</t>
  </si>
  <si>
    <t>He estado viendo ahora la entrevista a @Santi_ABASCAL por @anarosaq Mi nota para Santi en su primera vez es un 7; teniendo muy en cuenta que le faltan tablas en esto de la tele, porque hay que tenerlas... Ana Rosa bien, ni bailándole el agua, ni a saco</t>
  </si>
  <si>
    <t>PacoEstopa</t>
  </si>
  <si>
    <t>Viendo la entrevista q le ha hecho A.Rosa quintana a @Santi_ABASCAL he podido comprobar como l ha acribillado a preguntas,pero por lo menos le ha dejado explicarse cosa q en otros medios ni se le pasa x la cabeza invitarle x miedo a los Chaviprogrespodemitas</t>
  </si>
  <si>
    <t>Videojuegos</t>
  </si>
  <si>
    <t>🐗 Guerrilla Jr 🐗 ‏</t>
  </si>
  <si>
    <t>"Esos que dicen más Europa no dicen más Europa, dicen menos Europa, porque están llamando a la inmigración masiva" 😎😎😎 @Santi_ABASCAL en el programa de Ana Rosa 😎😎😎</t>
  </si>
  <si>
    <t>Macromachista. Vividor. Follamodelos, conflictivo y polémico. En estado de reforma ;)</t>
  </si>
  <si>
    <t>http://guerrillajr.wordpress.com</t>
  </si>
  <si>
    <t>La primera mentira de @Santi_ABASCAL, de @vox_es: la violencia de género es culpa de los extranjeros #EleccionesAndaluzas #2D</t>
  </si>
  <si>
    <t>https://www.diariosur.es/nacional/primera-mentira-abascal-20181205152953-ntrc.html#ns_campaign=gs-ms&amp;ns_mchannel=diariosur&amp;ns_source=tw&amp;ns_linkname=ltl</t>
  </si>
  <si>
    <t>elhombrecilloverde</t>
  </si>
  <si>
    <t>Esta mañana estuve viendo la entrevista de la infame AR a Santi Abascal. He de confesar q estoy aun en shock. Os cuento por que' 1. El tipo tiene las ideas claras como el agua. No quiere convencer a nadie: esto es lo que hay, si te gusta bien y si no, no me votes</t>
  </si>
  <si>
    <t>Galaxia M31</t>
  </si>
  <si>
    <t>Un hombrecillo verde en un planeta raro, raro...</t>
  </si>
  <si>
    <t>Como siempre @Santi_ABASCAL Estupendo aunque los periodistas de seguir insultando, provocando y estigmantizando a @vox_es y a su gente pacífica, demócrata y Constitucional. En cambio cuando van los de @ahorapodemos no les tildan de radicales.  @telecincoes</t>
  </si>
  <si>
    <t>https://www.telecinco.es/elprogramadeanarosa/santiago-abascal-vox-primera-entrevista-television_2_2670180014.html</t>
  </si>
  <si>
    <t>Emiliocg</t>
  </si>
  <si>
    <t>Algo decente de ver en T5. #AbascalAR . Pronto @vox_es a la @Moncloa_com . @Santi_ABASCAL a la presidencia. RT @elprogramadear: La entrevista completa de Santiago Abascal, líder de Vox la podéis ver aquí #AbascalAR</t>
  </si>
  <si>
    <t>Vigo</t>
  </si>
  <si>
    <t>Un Rally? una vida extra mas</t>
  </si>
  <si>
    <t>Gabriel Ferrer</t>
  </si>
  <si>
    <t>Entrevista a @Santi_ABASCAL en el Programa de Ana Rosa  vía @voxnoticias_es</t>
  </si>
  <si>
    <t>Custodia Compartida, Igualdad Real. Por el cumplimiento efectivo del artículo 14 de la Constitución</t>
  </si>
  <si>
    <t>📺 @Santi_ABASCAL en @elprogramadear 👉🏻 "Nuestra propuesta de máximos es un Estado políticamente centralizado, sin ninguna función para las Comunidades Autónomas #FueraAutonomías, con un solo gobierno, un solo parlamento y un solo tribunal supremo" #AbascalAR</t>
  </si>
  <si>
    <t>https://pbs.twimg.com/media/DtqbxeuWkAAQVD3.jpg</t>
  </si>
  <si>
    <t>Rachell Kiah🇦🇹🌪</t>
  </si>
  <si>
    <t>Ha sido vergonzozo como @anarosaq quiso arrinconar a @Santi_ABASCAL con temas delicados haciendo demagogia, todo lo que dice Abascal es verdad! Ay Anita que el miedo porque se levanten las alfombras en Andalucía y te salpique!</t>
  </si>
  <si>
    <t>Soy adicta a GH .Lozanista/Abadista en vena. Tú la misma de ayer, la incondicional, la que me espera siempre ,TU ....💝</t>
  </si>
  <si>
    <t>Anguita sí era un buen político de izquierdas y no @agarzon ni @Pablo_Iglesias_. @vox_es la Esperanza. @Santi_ABASCAL mi Presidente.</t>
  </si>
  <si>
    <t>pic.twitter.com/uJ1YRKMr26</t>
  </si>
  <si>
    <t>Irannis</t>
  </si>
  <si>
    <t>Se me hace imposible escuchar a @Santi_ABASCAL y no desear tirarle una bebida encima.</t>
  </si>
  <si>
    <t>pic.twitter.com/GqzlB9doUG</t>
  </si>
  <si>
    <t>Spainzuela</t>
  </si>
  <si>
    <t>Diseñadora Gráfica | Ilustradora Cofundadora de @EsBlooming y http://www.vivayviva.com Tweet Responsibly</t>
  </si>
  <si>
    <t>http://www.irannis.com</t>
  </si>
  <si>
    <t>Elena Valdés🇪🇸</t>
  </si>
  <si>
    <t>Excelente en la entrevista @Santi_ABASCAL Aclarando dudas y poniendo a cada uno en su sitio #AbascalAR</t>
  </si>
  <si>
    <t>Murcia,España</t>
  </si>
  <si>
    <t>Perfectamente imperfecta. A veces soy aún más borde de lo que parezco</t>
  </si>
  <si>
    <t>Íbero del Sur</t>
  </si>
  <si>
    <t>Quien vea en este hombre fascismo, está enfermo. Gracias @Santi_ABASCAL @vox_es La entrevista completa en @anarosaq  vía @telecincoes</t>
  </si>
  <si>
    <t>Sí no te gusta el país donde vives, trabaja por cambiarlo y si no, lárgate 🇪🇸</t>
  </si>
  <si>
    <t>Porque es imposible detener el avance de VOX. Porque está contra la inmigración ilegal y de las mafias que lucra con el trafico humano provocando muertes de niños y mujeres todos los días. Viva VOX @monasterioR @Santi_ABASCAL @FJL_EsRadio @Ortega_Smith VOX viva VOX viva España</t>
  </si>
  <si>
    <t>https://pbs.twimg.com/media/DtqaH4zU0AESeKg.jpg</t>
  </si>
  <si>
    <t>Maravillosa entrevista @Santi_ABASCAL a pesar de que Ana Rosa te cortaba cuando la dejabas en bragas</t>
  </si>
  <si>
    <t>Guadalupe Bragado</t>
  </si>
  <si>
    <t>Me gustaría saber por qué Rivera no quiso de presidenta a Arrimafas en Cataluña y sí a Marín dn Andalucía, su estrategia es claudicar como Sánchez?? @javiernegre10 @alfonsomerlos @pablocasado_ @Santi_ABASCAL RT @elmundoes: El independentismo pacta con Ciudadanos y PSC el reparto de cargos en TV3 y Catalunya Ràdio</t>
  </si>
  <si>
    <t>https://twitter.com/elmundoes/status/1070336243278344192
https://trib.al/6siVWye</t>
  </si>
  <si>
    <t>Directora General de Formación Profesional y Enseñanzas Artísticas, Deportivas e Idiomas en Comunidad de Madrid...trabajando y siempre aprendiendo!! 🇪🇸</t>
  </si>
  <si>
    <t>http://www.madrid.org/fp</t>
  </si>
  <si>
    <t>Espíritu-Profético ㊏</t>
  </si>
  <si>
    <t>La diferencia: a @Santi_ABASCAL lo admiramos por ser un líder y al @Pablo_Iglesias lo detestamos por ser un ningundi y mal perdedor.</t>
  </si>
  <si>
    <t>RUAH ELOHIM ㊏ ANDALUCÍA</t>
  </si>
  <si>
    <t>Y VI LAS ALMAS DE LOS DECAPITADOS POR CAUSA DEL TESTIMONIO DE JESÚS Y POR LA PALABRA DE DIOS. APOCALIPSIS 20: 4 EGRESADO DEL IBG AHORA SBG - GUATEMALA</t>
  </si>
  <si>
    <t>Mientras se conforma el gobierno en esta nueva e ilusionante época #PostPSOE nosotros, gobierne quien gobierne, proponemos las siguientes medidas para el progreso de Andalucía. La destrucción de la red clientelar tiene que ser PROFUNDA @JuanMarin_Cs @JuanMa_Moreno @Santi_ABASCAL</t>
  </si>
  <si>
    <t>pic.twitter.com/4omCRLEkVx</t>
  </si>
  <si>
    <t>Que sea , más pronto que tarde @vox_es @VOXSevilla @FSerranoCastro @Santi_ABASCAL @Ortega_Smith Santiago Abascal: «Sánchez no dura ni un minuto en La Moncloa si adelanta las elecciones»  vía @ABCespana</t>
  </si>
  <si>
    <t>Por qué es imposible detener a VOX. Porque los que hoy ocupan la Moncloa no ganaron las elecciones en junio de 2015. Los españoles quieren votar y es su derecho hacerlo. Viva VOX @monasterioR @Santi_ABASCAL @FJL_EsRadio @Ortega_Smith VOX viva VOX por una España viva</t>
  </si>
  <si>
    <t>https://pbs.twimg.com/media/DtqZDzxV4AAXPDU.jpg</t>
  </si>
  <si>
    <t>Nina🌹</t>
  </si>
  <si>
    <t>Y en el rótulo pone "hay homosexuales que votan a VOX" JAJAJAJA TE IMAGINAS QUE SÍ Pero si nos tratais como a escoria de tercera clase mostro @Santi_ABASCAL RT @elprogramadear: .@Santi_ABASCAL : "El matrimonio es la unión entre un hombre y una mujer" @vox_es #AbascalAR</t>
  </si>
  <si>
    <t>Whatever our souls are made of, her and mine are the same. V</t>
  </si>
  <si>
    <t>http://www.instagram.com/marinamolina1310</t>
  </si>
  <si>
    <t>Alejandro Sellés</t>
  </si>
  <si>
    <t>Obligado ver la entrevista de Ana Rosa a @Santi_ABASCAL. Ha estado sublime, como siempre</t>
  </si>
  <si>
    <t>Alicante - España</t>
  </si>
  <si>
    <t>Yo vi jugar a Messi</t>
  </si>
  <si>
    <t>http://i.instagram.com/4_selles/</t>
  </si>
  <si>
    <t>Estás acabado @Pablo_Iglesias_ Solo te van a votar los ultras y esos son cuatro crazys descerebraos Estás ganando muchos enemigos @Albert_Rivera @Santi_ABASCAL denuncia a Iglesias, solo denuncias tú nadie va a romper una lanza por lo q ha hecho el zumbado</t>
  </si>
  <si>
    <t>https://www.larazon.es/carrusel-de-noticias</t>
  </si>
  <si>
    <t>Oigan a este señor q pertenece a un partido el cual la Ministra de Justicia dice q es constitucional. Està convocando una manifestación para el día 6en contra de la Constitución, luego es VOX y @Santi_ABASCAL al q la banda de Otegui quería matar, el fascista @sanchezcastejon RT @Duelelab: La rata terrorista Otegi, que secuestró y torturó a Luis Abaitua, pide "okupar" las calles contra @vox_es. ¿Hay alguna diferencia entre el discurso de este terrorista y el que hizo Pablo Iglesias, Marqués de Galapagar, hace 2 días?</t>
  </si>
  <si>
    <t>https://twitter.com/Duelelab/status/1070122002109947907</t>
  </si>
  <si>
    <t>pic.twitter.com/DecKGKTZRW</t>
  </si>
  <si>
    <t>Manolo López</t>
  </si>
  <si>
    <t>Pues yo tengo un familiar que compartió clase con Santi Abascal y dice que en la Universidad se comía las pollas de tres en tres.</t>
  </si>
  <si>
    <t>Puerto de Santa Maria-Sevilla</t>
  </si>
  <si>
    <t>Graduado en Derecho. Os hablo poco pero os leo mucho.</t>
  </si>
  <si>
    <t>eva</t>
  </si>
  <si>
    <t>Es que me acuerdo que cuando vi la notificación “santi_abascal te ha enviado un mensaje” se me paró el corazón. Aproximadamente hizo unas 80 capturas de pantalla porque NO ME LO PODÍA CREER.</t>
  </si>
  <si>
    <t>i love you like my termomix</t>
  </si>
  <si>
    <t>https://curiouscat.me/evunsky_03</t>
  </si>
  <si>
    <t>JRF CanalApuesta</t>
  </si>
  <si>
    <t>Bienvenidos a la España de @Santi_ABASCAL @vox_es 🧠 estas ahí? RT @mugiwarasens: MÁXIMA DIFUSIÓN ,esto ha pasado en Archena (Murcia), si este es el racismo que queremos tener con VOX de por medio yo no sé qué pensar ya de este tipo de gente</t>
  </si>
  <si>
    <t>Tipster Premium de fútbol español en http://www.canalapuesta.com +11% Yield (250 unidades beneficio) en +1500 pronósticos. El tiempo pone a cada uno en su lugar</t>
  </si>
  <si>
    <t>💥TOOOOMA💥 SUSANA DÍAZ dice SALVAJADAS sobre VOX y SANTI ABASCAL la pone ...  vía @YouTube</t>
  </si>
  <si>
    <t>https://youtu.be/iuR5DQt8aoQ</t>
  </si>
  <si>
    <t>https://pbs.twimg.com/media/DtqXkHEW0AAWSMz.jpg</t>
  </si>
  <si>
    <t>Bannon de Barataria</t>
  </si>
  <si>
    <t>#AbascalAR Cuidado @Santi_ABASCAL, "AntifaShrek" amenaza con comerle. #HuelgaDeHambre para este👇</t>
  </si>
  <si>
    <t>pic.twitter.com/js6jx3ruKR</t>
  </si>
  <si>
    <t>Barataria, LA</t>
  </si>
  <si>
    <t>Hacer Barataria grande de una vez 🔝 TOPdólogo® Tengo una opinión sobre lo suyo 🆗 Tomo nota 📝</t>
  </si>
  <si>
    <t>Cierto , después de lo acontecido , esto se les va de las manos @vox_es @Santi_ABASCAL @Ortega_Smith @FSerranoCastro RT @voxnoticias_es: 🔴📰 @Santi_ABASCAL advierte "Hay un germen tremendamente violento de la hoz y el martillo arengado e impulsado por Pablo Iglesias. Pedro Sánchez debería llamar al orden a su socio. Si no lo hace será responsable de cualquier agresión que se produzca"</t>
  </si>
  <si>
    <t>https://twitter.com/voxnoticias_es/status/1070330725335994368
https://www.elindependiente.com/politica/2018/12/05/abascal-decidan-pp-cs-quien-quiren-les-pondremos-las-lineas-rojigualdas-los-deberes/?utm_source=share_buttons&amp;utm_medium=twitter&amp;utm_campaign=social_share2</t>
  </si>
  <si>
    <t>Sister 1492 🇪🇸 ن ➕</t>
  </si>
  <si>
    <t>No os perdáis este vídeo en el que @Santi_ABASCAL le confirma a @carloscuestaEM que no pedirán cargos en la Junta de Andalucía. Vamos, lo típico de la “extrema derecha”. #EspañaViva</t>
  </si>
  <si>
    <t>https://youtu.be/8z8I0m8DP-Q</t>
  </si>
  <si>
    <t>Alcázar de Toledo</t>
  </si>
  <si>
    <t>Gloria a la Patria que supo seguir sobre el azul del mar el caminar del sol.</t>
  </si>
  <si>
    <t>Los que no pudieron ver la entrevista de @Santi_ABASCAL en @elprogramadear, aquí os lo dejo, sobre todo aquellos que hablan de @vox_es de oídas, aquí lo tenéis, ni fascistas, ni nada que vaya contra España NO VIENE EL LOBO!</t>
  </si>
  <si>
    <t>https://youtu.be/8vcB-oJ5_c0</t>
  </si>
  <si>
    <t>Si yo fuera @Santi_ABASCAL no me perdería la oportunidad puede que única de presentarle a este @Pablo_Iglesias_ una denuncia El estudiante agredido ayer por 15 encapuchados en su tierra se lo exige 😃 RT @doguionrego: Hay un video d la noche electoral donde este @Pablo_Iglesias_ da las órdenes precisas para los acontecimientos que sucedieron Las órdenes de la mafia no son tan claras Esa noche estaba demasiado rabioso el Pablo como para tener la frialdad de controlarse y sacó el niño malcriado</t>
  </si>
  <si>
    <t>https://twitter.com/doguionrego/status/1070331338824314880
https://twitter.com/Santi_ABASCAL/status/1069949221175001089</t>
  </si>
  <si>
    <t>Más comentados ahora en Derecha/Centro Dcha.: ➀ @Albert_Rivera ↓ ➁ @ahorapodemos ↑ ➂ @JosPastr ↑ ➃ @Santi_ABASCAL ↓ ➄ @josepramonbosch ↓ ➅ @sanchezcastejon ↓ ➆ @vox_es ↓ ➇ @Pablo_Iglesias_ ↑ ➈ @javiernegre10 ↑</t>
  </si>
  <si>
    <t>Todas las leyes tienen su eficacia en el tiempo y son factibles de reformas pero hoy España en una crisis y gobernada por minorías no puede reformar la constitución. Primero hay que echar al eje PSOE PODEMOS de la Moncloa. @FJL_EsRadio @Santi_ABASCAL @pablocasado @Albert_Rivera</t>
  </si>
  <si>
    <t>Más influyentes ahora en Derecha/Centro Dcha.: ➀ @Albert_Rivera ↓ ➁ @JosPastr ↑ ➂ @josepramonbosch ↓ ➃ @Santi_ABASCAL ↑ ➄ @javiernegre10 ↑ ➅ @ldpsincomplejos ↑↑ ➆ @elmundoes ↓ ➇ @juanchoex ↑ ➈ @Alvisepf ↓</t>
  </si>
  <si>
    <t>HerMoti™</t>
  </si>
  <si>
    <t>Que dice Santi Abascal que hay homosexuales que votan a a VOX, y yo le digo que subnormales hay en todos los lados.</t>
  </si>
  <si>
    <t>Zamora/Madrid</t>
  </si>
  <si>
    <t>Actor de doblaje, imitador, cantante, showman y hacedor de risa. Contratación: hermotidoblaje@gmail.com</t>
  </si>
  <si>
    <t>https://www.youtube.com/c/hermoti?sub_confirmation=1</t>
  </si>
  <si>
    <t>S.C.R.A.T.S</t>
  </si>
  <si>
    <t>.@Santi_ABASCAL Desde nuestra Corporación le solicitamos un encuentro urgente, para intercambiar impresiones sobre los intereses de los 80.000 regantes de Alicante, Murcia y Almería, son de gran trascendencia y queremos conocer la postura de su formación política al respecto.</t>
  </si>
  <si>
    <t>https://pbs.twimg.com/media/DtqU1-OWoAE3cYX.jpg</t>
  </si>
  <si>
    <t>Murcia, Spain</t>
  </si>
  <si>
    <t>A través de este perfil, pretendemos dar a conocer la historia del trasvase Tajo Segura y su contribución al desarrollo económico y social de España.</t>
  </si>
  <si>
    <t>http://www.scrats.es</t>
  </si>
  <si>
    <t>https://www.elindependiente.com/politica/2018/12/05/abascal-decidan-pp-cs-quien-quiren-les-pondremos-las-lineas-rojigualdas-los-deberes/?utm_source=share_buttons&amp;utm_medium=twitter&amp;utm_campaign=social_share2</t>
  </si>
  <si>
    <t>Luihmi Malyssimo</t>
  </si>
  <si>
    <t>El Alcatraz de los fachas daneses Y aquí la gente votando a @VOXSevilla y @Santi_ABASCAL (armado) sin leerse su programa Dinamarca propone recluir en una isla deshabitada a migrantes y solicitantes de asilo condenados e imposibles de expulsar  @publico_es</t>
  </si>
  <si>
    <t>https://www.publico.es/internacional/dinamarca-propone-recluir-isla-deshabitada-migrantes-y-solicitantes-asilo-imposibles-expulsar.html</t>
  </si>
  <si>
    <t>Susana Ulukai</t>
  </si>
  <si>
    <t>Los masones van a por usted @Santi_ABASCAL , tenga cuidado. RT @andrei_kononov: Guy Verhofstadt (ALDE) y Manuel Valls, dos portavoces del Club Bilderberg, llaman a crear un cordón sanitario contra el que, por desgracia, es el único partido que pretende eliminar las CC.AA. y centralizar España. Sacad vuestras propias conclusiones.</t>
  </si>
  <si>
    <t>https://twitter.com/andrei_kononov/status/1070106267279155200</t>
  </si>
  <si>
    <t>https://pbs.twimg.com/media/DtnH9uqXQAEf6wH.jpg</t>
  </si>
  <si>
    <t>Humana, puedo equivocarme. Liberal. Justiciera. Sincera y sin paños calientes (sensibleros ABSTENERSE). Contesto argumentos, bloqueo insultos. Unga Unga Army.</t>
  </si>
  <si>
    <t>#CoronelPakez</t>
  </si>
  <si>
    <t>Ni los miserables de @ahorapodemos ni los cómplices de @ehbildu, y mucho menos el @gabrielrufian, ni político alguno en España, tiene autoridad moral para criticar a un perseguido por #ETA como @Santi_ABASCAL y a un torturado y secuestrado por la mafia abertzale como Ortega Lara.</t>
  </si>
  <si>
    <t>Snivia</t>
  </si>
  <si>
    <t>Soy el hombre que mató a Liberty Valance.</t>
  </si>
  <si>
    <t>http://www.elcoronelpakez.com</t>
  </si>
  <si>
    <t>Pabloco</t>
  </si>
  <si>
    <t>Si @vox_es y @Santi_ABASCAL quieren triunfar y no quedarse como podemos o C's, a medias, sin ser ganador en ningún sitio, debe abstenerse de pactos con todos ellos. Ni PP, ni PSOE, ni C's, y mucho menos Podemos. Aguanten un poquito más. Por favor, no nos decepcionen.😐🙏🏼</t>
  </si>
  <si>
    <t>me suspendió la cuenta Twitter por meterme con el Facuo. Ya me he pasado el primer nivel. Español y antipodemos. Canarias.♎</t>
  </si>
  <si>
    <t>Sofía 🏳️‍🌈</t>
  </si>
  <si>
    <t>Santi Abascal diciendo cualquier cosa. Yo escuchándolo:</t>
  </si>
  <si>
    <t>pic.twitter.com/GMUYTShGPP</t>
  </si>
  <si>
    <t>🤷🏻‍♀️</t>
  </si>
  <si>
    <t>¡Mamá, dile a ese tweet que deje de mirarme las tetas!</t>
  </si>
  <si>
    <t>Jairo Coto PiRfO</t>
  </si>
  <si>
    <t>Lo de @anarosaq preguntándole a @Santi_ABASCAL por el gimnasio es alucinante... Imaginaos la misma situación, con un presentador hombre y una mujer política entrevistada... "¿Vas al gym? Te he visto en fotos...". ¿De qué tacharían al presentador...? Igualdad... JA!!</t>
  </si>
  <si>
    <t>Rociero de Emigrantes, Cofrade de la Victoria, Pasionista del Refugio, Macareno del Sentencia, Asuncionista en Cantillana y Tinista ¿Se pué tener más suerte?</t>
  </si>
  <si>
    <t>¿Ha salido ya hoy alguien de la secta de los Davidianos felicitando a @Santi_ABASCAL?</t>
  </si>
  <si>
    <t>Apusino</t>
  </si>
  <si>
    <t>Si VOX firmara un acuerdo con una banda terrorista para que solo se atentara en Cataluña y no en el resto de España , que les llamarían?Eso lo acordó ERC.Que no te engañen  @gabrielrufian @Santi_ABASCAL @okdiario @pacomarhuenda @pablocasado_ @Albert_Rivera</t>
  </si>
  <si>
    <t>https://www.elmundo.es/elmundo/2004/02/18/espana/1077102000.html</t>
  </si>
  <si>
    <t>Martin Ruiz</t>
  </si>
  <si>
    <t>Ecologistas, animalistas, prohibicionistas...: síndrome de la sandía, verdes por fuera, rojos por dentro @vox_es @ademiguelanton @Santi_ABASCAL @Ortega_Smith RT @ademiguelanton: 🖊#MundoRural #Caza #Tauromaquia apuntad este dato⤵️ La ministra de Transición Ecológica @Teresaribera aboga por la prohibición de los toros y la caza:🗣 "Me gustan los animales vivos”</t>
  </si>
  <si>
    <t>https://twitter.com/ademiguelanton/status/1070314002633408513
https://www.elmundo.es/cultura/toros/2018/12/05/5c079391fdddff5b688b4681.html</t>
  </si>
  <si>
    <t>Jaen, ESPAÑA</t>
  </si>
  <si>
    <t>Profesor</t>
  </si>
  <si>
    <t>http://www.martinruizcalvente.blogspot.com</t>
  </si>
  <si>
    <t>Alicia VeHo</t>
  </si>
  <si>
    <t>¿Ha felicitado ya #LordVoldemort a @vox_es y a @Santi_ABASCAL? ESTÁ TARDANDO.</t>
  </si>
  <si>
    <t>Logopeda en potencia. Lectora en acto. Y del Atleti. Esperando la carta de Hogwarts.</t>
  </si>
  <si>
    <t>¿Qué relación tenía @Santi_ABASCAL con @EsperanzAguirre para que esta tuviera tanto trato de favor hacia él? ¿A que esperan los Medios para preguntárselo?</t>
  </si>
  <si>
    <t>https://pbs.twimg.com/media/DtqQo9MXgAAqODg.jpg</t>
  </si>
  <si>
    <t>Cristina</t>
  </si>
  <si>
    <t>Ole ole y ole. Este señor es la claridad personificada, es lo que nadie se atreve a decir. @Santi_ABASCAL</t>
  </si>
  <si>
    <t>📚Estudiante de Ingeniería Informática en la Universidad Rey Juan Carlos.</t>
  </si>
  <si>
    <t>jose frann</t>
  </si>
  <si>
    <t>Después d #EleccionesAndalucia me pongo a leer programa electoral "sorpresa" y viendo la reacción en "foto1" no me extraña q el miedo de los políticos de siempre es que conozcamos el programa de @vox_es de @Santi_ABASCAL Cada vez q gritan por el "sillón" #Vox gana un voto.</t>
  </si>
  <si>
    <t>https://pbs.twimg.com/media/DtqQP92XgAE6I4x.jpg</t>
  </si>
  <si>
    <t>Granada (made in Spain)</t>
  </si>
  <si>
    <t>Empresario, Innovador, Emprendedor. Me caigo pues me levanto, y para adelante.</t>
  </si>
  <si>
    <t>http://www.mensajerialowcost.es</t>
  </si>
  <si>
    <t>https://pbs.twimg.com/media/DtqQFcJW0AA2RVo.png</t>
  </si>
  <si>
    <t>Seseka</t>
  </si>
  <si>
    <t>Viendo @A3Noticias desde que saco tan buen resultado @vox_es, solo paran de hacer como @sextaNoticias. Todos contra @vox_es que si es extrema derecha, Machista,... Y hoy que @Santi_ABASCAL era del pp, que si cobraba, que si... Quien Le tocará mañana???</t>
  </si>
  <si>
    <t>convencido que el sistema Bolivariano de Podemos nos llevará al declive! Venezuela es el triste ejemplo del neocomunismo.</t>
  </si>
  <si>
    <t>Gallito de Sant Esteve de les Roures 🎗</t>
  </si>
  <si>
    <t>Al ataque! Santi Abascal perseguido por los Llanitos #Gibraltar</t>
  </si>
  <si>
    <t>pic.twitter.com/VtyshPhNNi</t>
  </si>
  <si>
    <t>Contra el feixisme ➡️ cultura, l' individualisme perjudica la classe treballadora ➡️ sindicalisme. Xarnego Republicà ❤💛💜 🎗🎗🎗</t>
  </si>
  <si>
    <t>🌹 Socialdemócrata 🇪🇺</t>
  </si>
  <si>
    <t>Folla más y jode menos @santi_abascal RT @elprogramadear: .@Santi_ABASCAL : "El matrimonio es la unión entre un hombre y una mujer" @vox_es #AbascalAR</t>
  </si>
  <si>
    <t>MAD, Estados Unidos de Europa</t>
  </si>
  <si>
    <t>Frente a la mentira y la demagogia de la política rancia española representada por Vox, PP y Podemos, No a #PPodemos. 🇪🇺 PSOE</t>
  </si>
  <si>
    <t>Sebastian T</t>
  </si>
  <si>
    <t>Hace falta un @Santi_ABASCAL y un partido como @vox_es en Chile. RT @elprogramadear: Santiago Abascal: "Quiero una ley que defienda a mis hijos de las denuncias falsas de cualquier desaprensiva" #AbascalAR</t>
  </si>
  <si>
    <t>https://twitter.com/elprogramadear/status/1070242383974068224
http://bit.ly/2BTacEH</t>
  </si>
  <si>
    <t>https://pbs.twimg.com/media/DtpDwBTWkAEwQdD.jpg</t>
  </si>
  <si>
    <t>En el Mundo, Chile</t>
  </si>
  <si>
    <t>Mi profesion no valida mi opinión. Cazando policías del pensamiento. Vive la petite difference! Hannah Arendt. Gabriela Morreale, Virginia Apgar.</t>
  </si>
  <si>
    <t>DrWho</t>
  </si>
  <si>
    <t>A uno de ciudadanos diciendo que @Santi_ABASCAL es nacionalista cuando @manuelvalls su candidato dice maravillas de los gitanos, en fin</t>
  </si>
  <si>
    <t>En la TARDIS</t>
  </si>
  <si>
    <t>Taken by my sunshine and goddess @TheImpcibleGirl . I travel with my crazy daughter @Jenny_DoctorWHO In my free time, I'm @James_Bond_SP and Skynet</t>
  </si>
  <si>
    <t>https://instagram.com/doctorwhoeldoctor/</t>
  </si>
  <si>
    <t>Una ley que “las proteja a ellas de cualquier maltratador y a ellos de las denuncias falsas de cualquier desaprensiva”. Gracias, en serio. En pie ante ti, @Santi_ABASCAL</t>
  </si>
  <si>
    <t>A diferencia de la izquierda plagada de líderes Rufianes y corruptos un doctor que no hizo la tesis y un mercenario comunista estafador la derecha en España tiene tres joyas como @Santi_ABASCAL @pablocasado y @Albert_Rivera. Y eso los españoles lo saben. @FJL_EsRadio VIVA VOX.</t>
  </si>
  <si>
    <t>Cuidado con los líderes políticos que se definen como oposición a una ideología. Santiago Abascal @Santi_ABASCAL en 'El programa de Ana Rosa @elprogramadear "Somos antipodemitas y anticomunistas"</t>
  </si>
  <si>
    <t>https://casoaislado.com/abascal-en-el-programa-de-ana-rosa-somos-antipodemitas-y-anticomunistas/</t>
  </si>
  <si>
    <t>Maximo Dalmau</t>
  </si>
  <si>
    <t>Mis mayores felicitaciones a @vox_es @Santi_ABASCAL @Vox_Andalucia por el increíble resultado en Andalucia. Tras leer vuestro programa económico, estoy convencido, sois lo que España necesita, Baleares los necesita. Éxitos!!!</t>
  </si>
  <si>
    <t>Balearic Islands, Spain.</t>
  </si>
  <si>
    <t>Live simple, think smart, love always... is the best way! =) https://www.youtube.com/c/MaximoDalmau</t>
  </si>
  <si>
    <t>https://www.maximodalmau.com</t>
  </si>
  <si>
    <t>Julio Criado</t>
  </si>
  <si>
    <t>Hola @A3Noticias el tratamiento informativo de la trayectoria profesional de @Santi_ABASCAL es, como mínimo, asimétrico respecto al de otros políticos como, por ejemplo, Pablo Iglesias o Susana Díaz. Información objetiva?????</t>
  </si>
  <si>
    <t>Paterfamilias, Abogado especialista en... solucionar problemas, sevillista, católico y libertarian</t>
  </si>
  <si>
    <t>SCA</t>
  </si>
  <si>
    <t>Confirmado si @Santi_ABASCAL viviese en el regimen Franquista seria un «Vago y Maleante» mas que nada pq el creador de @Vox_Murcia es un «VAGO» otro chupoctero q no ha pegado chapa en su vida y el unico sueldo q se ha ganado es gracias a los contribuyentes ESPAÑOLES.</t>
  </si>
  <si>
    <t>Asociación de Compañeros nacidos en el 78,no denostamos lo que hoy lo que nuestros padres crearon</t>
  </si>
  <si>
    <t>El FASCISMO nació de la izquierda socialista-anarquista y lo practica la EXTREMA IZQUIERDA de @PodemosCongreso con la connivencia del @PSOE con MÉTODO FASCISTA: INTIMIDANDO, COACCIONANDO Y AGREDIENDO a personas, tras FRACASAR DEMOCRÁTICAMENTE EN LAS URNAS. @vox_es @Santi_ABASCAL</t>
  </si>
  <si>
    <t>https://pbs.twimg.com/media/DtqMzwqXgAIA2sz.jpg</t>
  </si>
  <si>
    <t>Luis de Loma-Ossorio 🇪🇸</t>
  </si>
  <si>
    <t>Vaya repaso a @Santi_ABASCAL en @A3Noticias no saben como meterse con el. Ya hasta lo relacionan con Aznar y Aguirre, lo peor del mundo 😂😂😂</t>
  </si>
  <si>
    <t>JAÉN (ESPAÑA)🇪🇸</t>
  </si>
  <si>
    <t>Luchad, y puede que muráis. Huid y viviréis... un tiempo al menos. Puede que nos quiten la vida, pero jamás nos quitarán... ¡¡La libertad!!</t>
  </si>
  <si>
    <t>Noemí Ramos</t>
  </si>
  <si>
    <t>Momentazo de @Santi_ABASCAL hoy en #AbascalAR</t>
  </si>
  <si>
    <t>pic.twitter.com/Jl2C2LfNjf</t>
  </si>
  <si>
    <t>ESPAÑA. 1995. Madrid.</t>
  </si>
  <si>
    <t>Orgullosa y enamorada de España🇪🇸🖤 Graduada en Magisterio + Pedagogía Terapéutica + DECA. 👩‍🏫 -.RMCF.- Instagram:NoemRamos20. 📲</t>
  </si>
  <si>
    <t>John McClane</t>
  </si>
  <si>
    <t>Seguro que algún ente mononeuronal de este país piensa que @Santi_ABASCAL va a asaltar el @museodelprado para quemar los cuadros de Goya</t>
  </si>
  <si>
    <t>https://pbs.twimg.com/media/DtqMevHXcAIbjhS.jpg</t>
  </si>
  <si>
    <t>Los políticos que dicen defender a los pobres y necesitados, NECESITAN una población pobre y necesitada.</t>
  </si>
  <si>
    <t>Demolition Man</t>
  </si>
  <si>
    <t>Bueno. Voy a recibir mi dosis diaria de lavado de cerebro mediático contra @vox_es y @Santi_ABASCAL . Ayer @laSextaTV , hoy le toca a @A3Noticias . Los siguientes serán los de @boinges ?</t>
  </si>
  <si>
    <t>Nos esforzamos en crear una sociedad de ciudadanos libres e iguales viviendo en paz y armonía pero de forma inexplicable terminamos creando gilipollas.</t>
  </si>
  <si>
    <t>👻 Venyan 👻</t>
  </si>
  <si>
    <t>Hola @Santi_ABASCAL eres un puto gilipollas.</t>
  </si>
  <si>
    <t>Fan de cosas que bebe pespi a veces. A veces me pinto la cara. La teacher (casi), feminista y bifuriosa. TERFs fuera de aquí.</t>
  </si>
  <si>
    <t>Albert ❄️ Me cago en mi vida edition 🖤</t>
  </si>
  <si>
    <t>Nueva edición de «Tu facha me suena», con Santi Abascal, Albert Rivera y Pablo Casado como miembros expertos de nuestro jurado, pronto en tu televisión! Serán muy duros con los candidatos? No seas un rojo de mierda, no te lo pierdas!</t>
  </si>
  <si>
    <t>https://pbs.twimg.com/media/DtqLUWnWwAEPlHF.jpg</t>
  </si>
  <si>
    <t>✊ Alcemos la voz hasta que teman nuestras cuerdas vocales 🎮 Overwatch nivell usuari ☪️ Siervo de Lilith 🖤 Mi bae se llama Shira, y tiene 4 patas</t>
  </si>
  <si>
    <t>http://about.me/albert_nevado</t>
  </si>
  <si>
    <t>spanish dumb</t>
  </si>
  <si>
    <t>Siguen naciendo fascistas con estas cosas! Otros 100.000 votos más para @Santi_ABASCAL RT @josepramonbosch: El alcalde Kichi de @ahorapodemos en Cádiz le dice a un juez que “La próxima visita será con dinamita”. Ellos son los únicos demócratas, antifascistas y moderados, el resto todos somos “fachas”</t>
  </si>
  <si>
    <t>https://twitter.com/josepramonbosch/status/1069958392578535424</t>
  </si>
  <si>
    <t>pic.twitter.com/b824kRI4Sm</t>
  </si>
  <si>
    <t>Noctis</t>
  </si>
  <si>
    <t>Una violación entre varios tíos a una mujer en Alicante, un hombre mata a su pareja, y el subnormal de @Santi_ABASCAL quiere quitar la ley por la violencia de género promulgando "que quieren igualdad en realidad". Eres un subnormal, Abascal. Un puto subnormal.</t>
  </si>
  <si>
    <t>Ginna A. Sanvillamil</t>
  </si>
  <si>
    <t>Cuando un programa de "opinión" (😷) se convierte en el SPA de personajes agusanados... @anarosaq a @Santi_ABASCAL "¿Va al gimnasio, hace pesas? Le he visto en fotos"</t>
  </si>
  <si>
    <t>https://digitalsevilla.com/2018/12/05/ana-rosa-al-lider-de-vox-va-al-gimnasio-hace-pesas-le-he-visto-en-fotos/</t>
  </si>
  <si>
    <t>Sativa.</t>
  </si>
  <si>
    <t>Estudiante Criminología y Seguridad</t>
  </si>
  <si>
    <t>https://www.facebook.com/gindaje/</t>
  </si>
  <si>
    <t>luis</t>
  </si>
  <si>
    <t>Shipeas a la patri guerrero con santi abascal? Dilo — we stan</t>
  </si>
  <si>
    <t>https://curiouscat.me/santamartart5/post/724966649?t=1544018894</t>
  </si>
  <si>
    <t>bilbao</t>
  </si>
  <si>
    <t>futura celebridad https://www.youtube.com/channel/UC4NYaS9rSTeNGvBdbZcXZVg</t>
  </si>
  <si>
    <t>http://www.instagram.com/luispitton</t>
  </si>
  <si>
    <t>España qué bonita eres.</t>
  </si>
  <si>
    <t>Nada que ver lo que muestra @Santi_ABASCAL sobre las medidas de VOX a las mentiras que cuenta la extrema izquierda sobre ellos Abascal analiza las claves de VOX : "No estamos preocupados en etiquetarnos ni en defendernos de los estigmas"  vía @telecincoes</t>
  </si>
  <si>
    <t>Valoro las personas de principios sanos y puros, que amen la verdad. Si esos sentimiento están en tu vida se bienvenido. Jesucristo. 🇪🇸 VOX 🇻🇪</t>
  </si>
  <si>
    <t>Carta de @Santi_ABASCAL al podemita @Pablo_Iglesias_ No tiene desperdicio</t>
  </si>
  <si>
    <t>VOX Chiclana</t>
  </si>
  <si>
    <t>Entrevista completa de nuestro presidente @Santi_ABASCAL</t>
  </si>
  <si>
    <t>Cuenta Oficial de VOX Chiclana de la Frontera (Cadiz)</t>
  </si>
  <si>
    <t>Jesús Martos Carmena</t>
  </si>
  <si>
    <t>No termino de ver a @Santi_ABASCAL quemando cruces. No, me da que no. RT @Jardiner_: Una minoría violenta no representa a las movilizaciones antifascistas. En cambio un tuit del ex jefe del KKK si que es puro Vox. De hecho si miráis por la ventana veréis a Santi Abascal con un palo con un clavo persiguiendo negros</t>
  </si>
  <si>
    <t>https://twitter.com/Jardiner_/status/1070297716490674176</t>
  </si>
  <si>
    <t>Simplemente madridista. 92.48 No tomo atajos 23 Postgrado (de verdad) en Dirección Comercial y Marketing</t>
  </si>
  <si>
    <t>Paula Jáuregui</t>
  </si>
  <si>
    <t>Me siento profundamente orgullosa de ser española y por eso estoy convencida de que en este país jamás vamos a permitir que ideas tan retrógradas como esta se lleven a cabo. Los derechos no se tocan! @Santi_ABASCAL RT @eltelevisero: Santiago Abascal, sin caretas: "#VOX dice no al matrimonio gay" #AbascalAR</t>
  </si>
  <si>
    <t>https://twitter.com/eltelevisero/status/1070305924705935360
http://www.eltelevisero.com/2018/12/abascal-carga-colectivo-lgtb-la-mujer-los-inmigrantes-programa-ar/</t>
  </si>
  <si>
    <t>https://pbs.twimg.com/media/Dtp9hlWXgAAmyJg.jpg</t>
  </si>
  <si>
    <t>De esas que nadie recomienda y aun así no serás capaz de odiarme.</t>
  </si>
  <si>
    <t>http://www.instagram.com/paulajauregui</t>
  </si>
  <si>
    <t>Más comentados ahora en Derecha/Centro Dcha.: ➀ @ahorapodemos ↑ ➁ @Santi_ABASCAL ↓ ➂ @JosPastr ↓ ➃ @josepramonbosch ↑ ➄ @javiernegre10 ↓ ➅ @elmundoes ↑ ➆ @vox_es ↑ ➇ @sanchezcastejon ↑ ➈ @Pablo_Iglesias_ ↑</t>
  </si>
  <si>
    <t>Más influyentes ahora en Derecha/Centro Dcha.: ➀ @JosPastr ↓ ➁ @Santi_ABASCAL ↑ ➂ @josepramonbosch ↑ ➃ @javiernegre10 ↓ ➄ @elmundoes ↑ ➅ @juanchoex ↓ ➆ @Alvisepf ↑ ➇ @esRadio ↑ ➈ @Miotroyo2parte ↑ ➉ @libertaddigital ↑</t>
  </si>
  <si>
    <t>Fonsi Loaiza</t>
  </si>
  <si>
    <t>Ana Rosa mostró en su programa la celda en la que estuvo el president @KRLS y unos mensajes privados y dijo que había acabado con el procés catalán. Ahora blanquea al fascista de @Santi_ABASCAL preguntándole si va al gimnasio.</t>
  </si>
  <si>
    <t>pic.twitter.com/mMS7r4hjgG</t>
  </si>
  <si>
    <t>Barcelona-Cádiz</t>
  </si>
  <si>
    <t>Picapedrero del click. Doctor en Periodismo por la UAB. Por un Deporte antifascista, anticapitalista y feminista.</t>
  </si>
  <si>
    <t>http://www.instagram.com/fonsiloaiza</t>
  </si>
  <si>
    <t>Empieza a ser preocupante la campaña de acoso y derribo que está sufriendo Vox. @voxnoticias_es @Santi_ABASCAL @RSInews @policia @elCatalan_es @DolcaCatalunya @hisomatemps @CCivicaCatalana @lasvocesdelpue @Frances12600175 @Ortega_Smith</t>
  </si>
  <si>
    <t>https://okdiario.com/opinion/2018/12/05/hasta-donde-va-llegar-esta-campana-acoso-3429149#.XAfYqa7_Ubk.twitter</t>
  </si>
  <si>
    <t>Bruno 💯</t>
  </si>
  <si>
    <t>¿Qué es lo más hiriente, lo más psicológicamente lacerante, que les puedo decir a los bienpensantes y santones de la corrección política con respecto a @Santi_ABASCAL? Que estoy totalmente de acuerdo con él. RT @ExonFinance: @abc_es @PedroCuartango @vox_es @vox_es Enlace de la entrevista completa e @Santi_ABASCAL con @anarosaq . La calidad de vídeo no es la mejor de todas, pero no tiene anuncios.</t>
  </si>
  <si>
    <t>https://twitter.com/ExonFinance/status/1070292896325255168
https://www.youtube.com/watch?v=8vcB-oJ5_c0</t>
  </si>
  <si>
    <t>Cuenta de temática política. #RegneDeValéncia #RACV #España #ValenciaCF #Venezuela</t>
  </si>
  <si>
    <t>http://ostrakonia.blogspot.com</t>
  </si>
  <si>
    <t>VOX DEFIENDE ESPAÑA. DOCTOR #CUMFRAUDE DEFIENDE ESPAÑAZUELA El plan económico de VOX para España: desalojo inmediato de okupas, IRPF único del 20%, pensiones mixtas...- Libertad Digital | Versión Móvil (mobile)  @Santi_ABASCAL @CasaReal @GeneralDavila</t>
  </si>
  <si>
    <t>https://www.libremercado.com/2018-12-05/el-plan-economico-de-vox-para-espana-desalojo-inmediato-de-okupas-irpf-unico-del-20-pensiones-mixtas-1276629399/</t>
  </si>
  <si>
    <t>JordiOD</t>
  </si>
  <si>
    <t>Cuantas barbaridades habrán dicho estos dos malos bichos. Yo nada más ver el careto de @Santi_ABASCAL al lado de la momia de @anarosaq he apagado la tv y me he ido a pasear. Eso q me he ahorrado en vergüenza ajena. RT @cosasdecolette: La vergüenza ajena disparándose...</t>
  </si>
  <si>
    <t>https://twitter.com/cosasdecolette/status/1070300261384622081
https://twitter.com/DigitalSevilla/status/1070262783781101569</t>
  </si>
  <si>
    <t>Santa Coloma de Gramenet, España</t>
  </si>
  <si>
    <t>Ciencia Ciencia Política</t>
  </si>
  <si>
    <t>AntonioLacasa</t>
  </si>
  <si>
    <t>Las palabras alentadoras de @Pablo_Iglesias_ han cumplido su función: 1º- Movilizar a sus fieles violentos contra la democracia. 2º- Darnos ese empujón necesario a aquellos españoles indecisos de votar a @Santi_ABASCAL Gracias. #VoxYVotoARV #40añosConstitución</t>
  </si>
  <si>
    <t>Doble grado Derecho y Economia</t>
  </si>
  <si>
    <t>VÍDEO ▶ ¿De qué ha vivido y vive @Santi_ABASCAL?  @InazioLopez @enjakeETB @Xlapitz #enjakeETB @vox_es</t>
  </si>
  <si>
    <t>http://www.eitb.eus/es/television/programas/en-jake/videos/detalle/6040837/video-de-que-ha-vivido-vive-santiago-abascal-vox/</t>
  </si>
  <si>
    <t>https://pbs.twimg.com/media/DtqAFY9XgAEeff7.jpg</t>
  </si>
  <si>
    <t>📰 Entrevista de @okdiario a @Santi_ABASCAL | "Levantaremos las alfombras para acabar con años de corrupción clientelar en Andalucía" 📗 Mientras Ciudadanos se pega por el poder sin más, VOX exige una auditoría al enchufismo. Que se prepare el PSOE</t>
  </si>
  <si>
    <t>Ves el vídeo y comparas a Sr. @Santi_ABASCAL con @Pablo_Iglesias_ @pnique @ierrejon @Irene_Montero_ y te preguntas? Pero que descerebrado puedo votar a @ahorapodemos una panda de anti demócratas que solo buscan la confrontación para sacar su propio beneficio @vox_es #yoVotoVOX</t>
  </si>
  <si>
    <t>pic.twitter.com/A70sesOpoz</t>
  </si>
  <si>
    <t>A todos los energúmenos que decían @ahorapodemos da miedo: Santi Abascal "Siempre voy armado con una Smith &amp; Wesson".</t>
  </si>
  <si>
    <t>Marta Balbontin C</t>
  </si>
  <si>
    <t>El mejor homenaje para celebrar la Constitución es convocar elecciones generales.Yo Vox con @Santi_ABASCAL</t>
  </si>
  <si>
    <t>Española de sevillanas maneras🇪🇸🇪🇸🇪🇸🇪🇸🇪🇸🇪🇸🇪🇸🇪🇸🇪🇸🇪🇸🇪🇸🇪🇸🇪🇸🇪🇸</t>
  </si>
  <si>
    <t>Jordi Martin</t>
  </si>
  <si>
    <t>Un chiste, cual es el grupo favorit de @Santi_ABASCAL?? ULTRAVOX</t>
  </si>
  <si>
    <t>Mollet del Vallès, Espanya</t>
  </si>
  <si>
    <t>Nascut a Terrassa,fa 45 anys visc a Mollet i Rourenc d'adopció he passat a l'stablishment</t>
  </si>
  <si>
    <t>García Egea, en línea con @Santi_ABASCAL: “Prefiero no tener Canal Sur y tener endoscopios en los hospitales de Almería”</t>
  </si>
  <si>
    <t>https://www.elindependiente.com/politica/2018/12/05/pp-dispuesto-estudiar-la-peticion-vox-cerrar-canal-sur/?utm_source=share_buttons&amp;utm_medium=twitter&amp;utm_campaign=social_share2</t>
  </si>
  <si>
    <t>Ania Liste</t>
  </si>
  <si>
    <t>Con la misma bandera española envolvería a @anarosaq y @Santi_ABASCAL ... y los colocaría a los pies de Franco, a venerarlo, como Dios manda</t>
  </si>
  <si>
    <t xml:space="preserve">Miami </t>
  </si>
  <si>
    <t>🎞️</t>
  </si>
  <si>
    <t>Desde la caída de Manavitox mi nuevo líder espiritual no puede ser otro que Santi Abascal. Te amo 💚💚 @Santi_ABASCAL</t>
  </si>
  <si>
    <t>miravalle hood (Màgala)</t>
  </si>
  <si>
    <t>. . · ˚ ✵ ˚ ✧ ⋆ ⊹ ✺ · . ⋆·va en serio· ˚ ✵ ˚ ✧ ⋆ ⊹ ✺</t>
  </si>
  <si>
    <t>https://www.last.fm/user/macias_prrats</t>
  </si>
  <si>
    <t>Melquiades III🇪🇸</t>
  </si>
  <si>
    <t>El marques @Pablo_Iglesias_ pide violencia desde su palacio y el violento es @Santi_ABASCAL Canal Sur denuncia agresiones en la marcha contra Vox</t>
  </si>
  <si>
    <t>http://www.elmundo.es/andalucia/2018/12/04/5c0701e5fc6c83a34e8b461b.html</t>
  </si>
  <si>
    <t>Galego e Español</t>
  </si>
  <si>
    <t>vivamos coma galegos,e se chove q chova</t>
  </si>
  <si>
    <t>Gracias @Santi_ABASCAL</t>
  </si>
  <si>
    <t>Juan Antonio Hernández</t>
  </si>
  <si>
    <t>.@anarosaq ha entrevistado a @Santi_ABASCAL (@vox_es) con voz entrecortada y muchas palabras separadas por un lapso excesivamente largo para una periodista tan veterana. ¿A qué tenía miedo? ¿Por qué 'dudaba' a la hora de preguntar? Está claro que algo está cambiando. ¡Viva VOX!</t>
  </si>
  <si>
    <t>SalomonII</t>
  </si>
  <si>
    <t>Espero que pronto cierren #CanalSur y también el resto de televisiones autonómicas. Ojo @Santi_ABASCAL no cedas en éso</t>
  </si>
  <si>
    <t>Último rey de Israel</t>
  </si>
  <si>
    <t>Guillermo RBalmaseda</t>
  </si>
  <si>
    <t>.@vox_es @Santi_ABASCAL @ivanedlm @Ortega_Smith Algo estais haciendo bien. Ahora los únicos radicales enseñan su verdadera cara. Los supuestos medios de comunicación imparciales lo mismo. El partido en el gobierno también... sois la kriptonita de los malos! Ánimo!</t>
  </si>
  <si>
    <t>Asesor financiero en Muncharaz.</t>
  </si>
  <si>
    <t>http://www.muncharaz.com</t>
  </si>
  <si>
    <t>Aurora Rocafort</t>
  </si>
  <si>
    <t>Ferreras,me gustaría ver en @DebatAlRojoVivo a @Santi_ABASCAL para que argumente sus propuestas de @vox_es como me gustaba ver a @Podemos y luego debatir y rebatir CON EL. Que te llamen fascista porque no piensas como te dicen que tienes que pensar..dice más de unos que de otros.</t>
  </si>
  <si>
    <t>Por aquí</t>
  </si>
  <si>
    <t>Primero gradualmente... y luego de repente.</t>
  </si>
  <si>
    <t>Arturo</t>
  </si>
  <si>
    <t>Para cuando la querella al personaje de la coleta, Sr. @Santi_ABASCAL ? Hace falta q pase algo grave? No le parece suficiente lo q esta pasando? @CristinaSegui_ RT @elprogramadear: .@Santi_ABASCAL: "Pablo Iglesias es responsable de cualquier agresión contra VOX" #AbascalAR</t>
  </si>
  <si>
    <t>https://twitter.com/elprogramadear/status/1070263508279980033
http://bit.ly/2APzhi8</t>
  </si>
  <si>
    <t>https://pbs.twimg.com/media/DtpW-7RXgAA-TtL.jpg</t>
  </si>
  <si>
    <t>Here</t>
  </si>
  <si>
    <t>He conseguido ser escéptico, incrédulo, pero honesto.</t>
  </si>
  <si>
    <t>La_puya</t>
  </si>
  <si>
    <t>Cuanta razón!!!. Ésta Ley solo da dinero que es lo que importa, lo demás..... fuerza @vox_es @Santi_ABASCAL RT @voxnoticias_es: 📺 "La ley de violencia de género hay que cambiarla porque no está siendo útil para proteger a las mujeres. Queremos una ley que proteja a las mujeres de los maltratadores y a los hombres de las denuncias falsas" Hablando claro de lo que muchos no se atreven 👏🏻👏🏻 #AbascalAR</t>
  </si>
  <si>
    <t>https://twitter.com/voxnoticias_es/status/1070253847648591874</t>
  </si>
  <si>
    <t>https://pbs.twimg.com/media/DtpOMUDW0AADUgl.jpg</t>
  </si>
  <si>
    <t>Que viva España y olé!!</t>
  </si>
  <si>
    <t>Tremendo ASCAZO escuchar lo que dicen en Telecirco tergiversando absolutamente TODO lo que sale de la boca de @Santi_ABASCAL @vox_es</t>
  </si>
  <si>
    <t>Barcos, coches, arte, arquitectura, Barça, videojuegos.. y dinero.. por supuesto. Futuro millonario.</t>
  </si>
  <si>
    <t>Maló</t>
  </si>
  <si>
    <t>#YaEsMediodia121 #madremía eso es un denuncia falsa de las que habla @Santi_ABASCAL en O,Grove, la mujer que ha sido tiroteada lo ha provocado ella o su pareja</t>
  </si>
  <si>
    <t>Madrid.</t>
  </si>
  <si>
    <t>No volverás nunca mas, pero sigues presente en tantas cosas y en mi de tal manera, que me cuesta mucho imaginarte ausente para siempre.</t>
  </si>
  <si>
    <t>#ENTREVISTA a @Santi_ABASCAL | “Levantaremos las alfombras para acabar con años de corrupción clientelar en Andalucía” 🎥</t>
  </si>
  <si>
    <t>Sergi 🎗|i*i| #ShameOnSpain</t>
  </si>
  <si>
    <t>⭕️ LAS PELIGROSAS IDEAS DE SANTI ABASCAL LÍDER DE VOX (hilo) ▫️Sus ideas contra los inmigrantes ▫️Guiños al Franquismo ▫️Sus acusaciones sin datos para estigmatizar al inmigrante ▫️Su patriotismo exacerbado ▫️Su rechazo y caricaturización del feminismo 👇🏼</t>
  </si>
  <si>
    <t>Inglaterra, Reino Unido</t>
  </si>
  <si>
    <t>Chi ha paura muore un po' tutti i giorni...chi non ha paura muore solo una volta. (Paolo Borsellino) ✊🏼</t>
  </si>
  <si>
    <t>Juan Ignacio</t>
  </si>
  <si>
    <t>Estoy preocupado. Veo IMPECABLE a @Santi_ABASCAL en la entrevista de esta mañana en @anarosaq.</t>
  </si>
  <si>
    <t xml:space="preserve">Las Tablas, Madrid </t>
  </si>
  <si>
    <t>CIUDADANO 100% madrileño - BA LON CES TO - RRPP &amp; Entrepreneur- Odio el tabaco - Ferviente defensor de la buena ortografía</t>
  </si>
  <si>
    <t>Jorge Neila</t>
  </si>
  <si>
    <t>España nunca me dará asco, pero gente española como tú, sí @Santi_ABASCAL. Si tengo seguidores de VOX que apoyan estas propuestas que me dejen de seguir, rápido 🤮 RT @elprogramadear: .@Santi_ABASCAL : "El matrimonio es la unión entre un hombre y una mujer" @vox_es #AbascalAR</t>
  </si>
  <si>
    <t>Del Atleti. 🎥 Reportero en @FormulaTV. Amante de las audiencias. Periodista y jurista. También hago fotos. Me llaman Coque. 📩 jorgeneila96@gmail.com</t>
  </si>
  <si>
    <t>https://www.instagram.com/jorgeneila/</t>
  </si>
  <si>
    <t>Jaimyfox</t>
  </si>
  <si>
    <t>.@vox_es exigirá una auditoria de todos los cargos enchufados por el régimen socialista andaluz en 40 años 🎥  Así nos lo contó @Santi_ABASCAL</t>
  </si>
  <si>
    <t>https://okdiario.com/espana/2018/12/05/vox-exigira-auditoria-todos-cargos-enchufados-regimen-socialista-andaluz-40-anos-3429573?utm_campaign=ok&amp;utm_medium=Social&amp;utm_source=Twitter#Echobox=1544014926</t>
  </si>
  <si>
    <t>.@Santi_ABASCAL responde a @Albert_Rivera: “@CiudadanosCs es un toro manso, nosotros somos bravos” 🎥  #ENTREVISTA de @carloscuestaEM</t>
  </si>
  <si>
    <t>https://okdiario.com/espana/2018/12/05/abascal-responde-rivera-ciudadanos-toro-manso-nosotros-somos-bravos-3426819?utm_campaign=ok&amp;utm_medium=Social&amp;utm_source=Twitter#Echobox=1544015335</t>
  </si>
  <si>
    <t>Príncipe del Cachopo</t>
  </si>
  <si>
    <t>Sufriste a los proetarras en primera persona desde pequeño, saliste del PP a tiempo, proclamaste tus ideas en @vox_es aunque casi nadie te escuchara, has triunfado con esfuerzo y cambiarás este país. Te mereces todo lo mejor @Santi_ABASCAL.</t>
  </si>
  <si>
    <t>https://pbs.twimg.com/media/Dtp7wI8WsAAHL-j.jpg</t>
  </si>
  <si>
    <t>Para los progres tengo el cachopo en oferta, del que está ya rancio eso sí</t>
  </si>
  <si>
    <t>Vaya, vaya telita con Santi Abascal de VOX. 😠😠😠😠</t>
  </si>
  <si>
    <t>Omega ❄</t>
  </si>
  <si>
    <t>Es oír a Santi Abascal y ponerme de mala hostia...</t>
  </si>
  <si>
    <t>📖 Léeme en: ⚫ENTRE HILOS Y CANDADOS ⚫ ⚫LIRIOS BAJO LAS PIEDRAS⚫ 🔊 Puedes encontrarlos en Amazon y a mí en instagram como Lidia_Omega 💙🍃</t>
  </si>
  <si>
    <t>https://www.youtube.com/channel/UCJv8utNw95mbEh-oEw002mQ</t>
  </si>
  <si>
    <t>miopinion</t>
  </si>
  <si>
    <t>Notición gran hermano VIP 7 ya tiene participantes @Pablo_Iglesias_ @gabrielrufian @KRLS @Santi_ABASCAL @Albert_Rivera y el gran @sanchezcastejon va a molar las nominaciones</t>
  </si>
  <si>
    <t>Jorge Amado🇪🇸</t>
  </si>
  <si>
    <t>Ahora mismo así está el carro de @vox_es Pero tranquilos que tenemos de sobra. Sabíamos que cuando se rompiera el cerco mediático muchos se subirían #VoxExtremaNecesidad #EspañaViva @Santi_ABASCAL #AbascalAR #FelizMiercoles #PuenteConstitucion2018</t>
  </si>
  <si>
    <t>https://pbs.twimg.com/media/Dtp7G8JXQAE6WgT.jpg</t>
  </si>
  <si>
    <t>Trabajando para que mis hijos hereden una España unida y ejemplar, de la que puedan presumir como yo lo hago. Todo es política🇪🇸 Presidente de @catsomostodos</t>
  </si>
  <si>
    <t>Woodpecker Campeador</t>
  </si>
  <si>
    <t>A ver, a cuántos niños se ha comido hoy @Santi_ABASCAL según @laSextaTV ??</t>
  </si>
  <si>
    <t>Desde vanguardia</t>
  </si>
  <si>
    <t>Noveno pasajero del Nostromo. Bipollar, me suda la polla todo dos veces, como al padre de Julian Ross.</t>
  </si>
  <si>
    <t>Bellita</t>
  </si>
  <si>
    <t>Poner T5 porque no he podido ver la entrevista de @Santi_ABASCAL y tener que quitarlo porque hay un par de TARUGAS que han ido a por uvas y se han traído higos y solo he visto un pediacito... Que odio más grande PROCESÁIS!!! #PutoAscoDais</t>
  </si>
  <si>
    <t>Elche, España</t>
  </si>
  <si>
    <t>Alicantina, Ilicitana de adopción y después por amor. Mi familia lo primero y lo demás está de más. Del Atleti y del Elche</t>
  </si>
  <si>
    <t>😏 Mira @Santi_ABASCAL 👇 Pablo Iglesias: 'Me da vergüenza como español que exista VOX'</t>
  </si>
  <si>
    <t>https://www.mediterraneodigital.com/espana/comunidad-de-madrid/pablo-iglesias-me-da-vergueenza-como-espanol-que-exista-vox.html</t>
  </si>
  <si>
    <t>Andy</t>
  </si>
  <si>
    <t>La narrativa de Santi Abascal sobre las denuncias falsas tiene más efectos especiales que una peli de Marvel</t>
  </si>
  <si>
    <t>♊️</t>
  </si>
  <si>
    <t>En lo mío y a lo mío</t>
  </si>
  <si>
    <t>http://despuesymuylejos.blogspot.com</t>
  </si>
  <si>
    <t>Cuando estoy triste o enfadado, solo tengo que mirar uno de los videos contra @vox_es o contra @Santi_ABASCAL como los de. Playground o Huffington, es ver los comentarios de la gente y me llega una alegría inmensa al. Corazón</t>
  </si>
  <si>
    <t>La Competència</t>
  </si>
  <si>
    <t>JEP: ¿Hablo con el futuro presidente español? ¿Santi Abascal? Sí, oye! Un señor que fue ministro en Francia pero que ya no pinta nada, también apoya a los presos indepes... ¡Rápido! ¡Enviad una fragata a Gibraltar con el himno a tope! Ah... ¿Ya lo habéis hecho? Eres bueno, tío...</t>
  </si>
  <si>
    <t>De dilluns a divendres, de 12 a 13h. A RAC1. Un programa d'humor basat en fets reals.</t>
  </si>
  <si>
    <t>Más comentados ahora en Derecha/Centro Dcha.: ➀ @ahorapodemos ↑ ➁ @Santi_ABASCAL ↓ ➂ @javiernegre10 ↓ ➃ @vox_es ↑ ➄ @elmundoes ↓ ➅ @josepramonbosch ↓ ➆ @PPopular ➇ @sanchezcastejon ↓ ➈ @juanchoex ↓</t>
  </si>
  <si>
    <t>alba</t>
  </si>
  <si>
    <t>artículo 456 del código penal😉 @Santi_ABASCAL RT @elprogramadear: Santiago Abascal: "Quiero una ley que defienda a mis hijos de las denuncias falsas de cualquier desaprensiva" #AbascalAR</t>
  </si>
  <si>
    <t>Más influyentes ahora en Derecha/Centro Dcha.: ➀ @javiernegre10 ↓ ➁ @Santi_ABASCAL ↓ ➂ @elmundoes ↓ ➃ @josepramonbosch ↓ ➄ @juanchoex ↓ ➅ @Duelelab ↑ ➆ @Alvisepf ↓ ➇ @elprogramadear ↓ ➈ @elCorreoWeb ↑↑ ➉ @JosPastr ↓</t>
  </si>
  <si>
    <t>#abascalAR @Santi_ABASCAL desde los 15 años se ha jugado la vida por sus convicciones de unidad y su amor a la patria 🇪🇸 frente a los cobardes asesinos de ETA se van encapuchados son una mierda que deben ir a prision incondicional 😡 mietras pablo vive del cuento y subvenciones RT @julio_patria: asi comenzó @Santi_ABASCAL y asi comenzó @Pablo_Iglesias_ aka ``el chepas´´ que terribles estos de extrema derecha #AbascalAR</t>
  </si>
  <si>
    <t>https://twitter.com/julio_patria/status/1070245033457139712</t>
  </si>
  <si>
    <t>https://pbs.twimg.com/media/DtpFN1-W0AIPxl6.jpg</t>
  </si>
  <si>
    <t>Alberto de Jesús</t>
  </si>
  <si>
    <t>#VoxTorosyLibertad  Tomando nota @vox_es @Santi_ABASCAL @FSerranoCastro @Detorosmatador @Albert_Rivera @pablocasado_ @Pablo_Iglesias_ @sanchezcastejon @torosenlacalle @bousdecarrerCV @AITauromaquia @Mundotorocom @teamtoro_es</t>
  </si>
  <si>
    <t>https://albertodejesus63.blogspot.com/2018/12/vox-es-taurino-y-lo-sabes-por-alberto.html</t>
  </si>
  <si>
    <t>Taurino Director revista Bous al Carrer de festejos populares http://www.bousalcarrer.com Fotógrafo taurino de @Revista6Toros6, http://mundotoro.com y agencias</t>
  </si>
  <si>
    <t>Javier Sousa</t>
  </si>
  <si>
    <t>Señor @Santi_ABASCAL , está circulando esto por las redes en Galicia, convendría que ataje ciertos comportamientos entre sus filas si es que son ciertos. Un saludo.</t>
  </si>
  <si>
    <t>https://pbs.twimg.com/media/Dtp5c9xW0AA3IEd.jpg</t>
  </si>
  <si>
    <t>O Porriño</t>
  </si>
  <si>
    <t>La imaginación no tiene límites.</t>
  </si>
  <si>
    <t>dramas</t>
  </si>
  <si>
    <t>según @Santi_ABASCAL el matrimonio es la union de un hombre y una mujer , me tengo que reír , porque esas gilipolleces , no se le ocurre a nadie mas que a el #DiadelVoluntariado</t>
  </si>
  <si>
    <t>hola soy Dramas, actriz de Twitter , casada con Dios</t>
  </si>
  <si>
    <t>https://www.youtube.com/channel/UCZblSxEQw1XJ2B3vrY1g2YQ</t>
  </si>
  <si>
    <t>Paz Paniagua</t>
  </si>
  <si>
    <t>Amenazas y coacciones: nada nuevo en el horizonte. Desde 2003 hasta nuestros días. ¡Para no perdérselo! Al mismo @Santi_ABASCAL que aparece en este vídeo es al que tachan de estar en contra de la Constitución,...</t>
  </si>
  <si>
    <t>https://www.facebook.com/paz.paniagua.12/videos/1939708026112722/</t>
  </si>
  <si>
    <t>Ser vago es la peor maldición del mundo y QUIENES LO SON NO TIENEN DERECHO A QUEJARSE DE NADA'. Odio la mala educación, a los mentirosos y a los vagos.</t>
  </si>
  <si>
    <t>Mereces saberlo 🇪🇸🌐🇪🇺</t>
  </si>
  <si>
    <t>Cuidado, no te lo pierdas! @Santi_ABASCAL presidente d @vox_es en su primera entrevista en #televisión permite q @anarosaq niegue y ningunee ante él, al 36% d las víctimas mortales en el hogar por el mero hecho d no ser mujeres. ¿como avanzaría LA VERDAD con otro tipo d asesores?</t>
  </si>
  <si>
    <t>https://pbs.twimg.com/media/Dtp2d68XgAAVa9c.jpg</t>
  </si>
  <si>
    <t>Informando mientras haya quien oculte o tergiverse datos sobre víctimas d violencias,asesinatos, denuncias falsas,etc, d cualquier país. 📩info@merecessaberlo.es</t>
  </si>
  <si>
    <t>http://www.merecessaberlo.es/</t>
  </si>
  <si>
    <t>Lucio Molina</t>
  </si>
  <si>
    <t>Pues que Santi Abascal tenía que "Reconquistar España" de algo si no recuerdo mal. Y ya se ha bajado del caballo y la ha envainado como un pepero o cuñadaner más. Ya no berrea como en Vistalegre. Y eso con Ana Rosa; imaginaos en el Parlamento Andaluz. #AbascalAR RT @blogkeats: Bueno, pues Santiago Abascal ya ha desmontado el discurso de la izquierda de que Vox es: - racista - homófobo - inconstitucional - machista ¿Ahora, qué? #AbascalAR</t>
  </si>
  <si>
    <t>https://twitter.com/blogkeats/status/1070242330014351365</t>
  </si>
  <si>
    <t>En algún sitio de por aquí.</t>
  </si>
  <si>
    <t>Soy de izquierdas pero que vivan las cadenas. No compro coches con correa.</t>
  </si>
  <si>
    <t>Plataforma TVE Libre</t>
  </si>
  <si>
    <t>El compadreo de @rtve @CdItve con Iglesias logra el climax tras despellejar @PPopular @vox_es. En Más @Desayunos_tve anuncian entrevista con @Santi_ABASCAL. ¿Será tan guay? @abc @elpais_espana @larazon_es @elmundoes @telediario_tve @24h_tve</t>
  </si>
  <si>
    <t>pic.twitter.com/hIY6YlXeog</t>
  </si>
  <si>
    <t>Profesionales de RTVE unidos contra el sectarismo y el odio en RTVE. ¿Quieres conocer la verdad? Comprometidos con el verdadero servicio público</t>
  </si>
  <si>
    <t>Gory_L</t>
  </si>
  <si>
    <t>Nadie le ha dicho a @Pablo_Iglesias_ que las almorranas de España son él y sus perros apestosos? @Santi_ABASCAL</t>
  </si>
  <si>
    <t>Aquí 🌎</t>
  </si>
  <si>
    <t>no aguanto las estupideces #penademuerte</t>
  </si>
  <si>
    <t>Sergio Q1ta</t>
  </si>
  <si>
    <t>Santi Abascal os está dando por todos lados. #AbascalAR</t>
  </si>
  <si>
    <t>España/Brasil</t>
  </si>
  <si>
    <t>Pensamiento crítico. No me gustan los extremos, ni las utopías. Pertenezco a la generación más equivocada de la historia. Emigrante sin esperanzas de volver.</t>
  </si>
  <si>
    <t>Volt España</t>
  </si>
  <si>
    <t>Estas palabras de @Santi_ABASCAL son inquietantes... Si quieres una alternativa centrada, solidaria, sostenible, trasnacional y europeísta, frente a @vox_es @PPopular @CiudadanosCs @PSOE o @ahorapodemos #VotaVolt🇪🇺 #HayAlternativa🇪🇺 #EleccionesEuropeas2019🇪🇺 #VotoEuropeoÚtil RT @G_PT95: @conbdebemoles @ChemaVolt @ElenaMoren_ @VoltEspana Pues se alegraba del brexit</t>
  </si>
  <si>
    <t>https://twitter.com/G_PT95/status/1070279758032834561</t>
  </si>
  <si>
    <t>https://pbs.twimg.com/media/Dtplw3mWwAAVSGz.jpg</t>
  </si>
  <si>
    <t>Partido Paneuropeísta que se va a presentar a las elecciones del Parlamento Europeo en toda #Europa - #Jointhechange - #ep2019 - RT ≠endorsement</t>
  </si>
  <si>
    <t>https://www.volteuropa.org</t>
  </si>
  <si>
    <t>“Provocar la 3ª guerra mundial por una apuesta” Esto sale con Santi Abascal lo veo y me cuadra. @Santi_ABASCAL RT @cai_nyabel: Juguemos, cuál será tu logro en 2019?</t>
  </si>
  <si>
    <t>https://twitter.com/cai_nyabel/status/1070047800359088128</t>
  </si>
  <si>
    <t>https://pbs.twimg.com/media/DtmSzMDX4AAmi-V.jpg</t>
  </si>
  <si>
    <t>En una cocina</t>
  </si>
  <si>
    <t>Meo sentado, me ducho sin esponja, intento hacer algún tipo de humor pero no tengo gracia. Del Barça y poco más. Entre Zamora y Mallorca supongo.</t>
  </si>
  <si>
    <t>Pues la posible duda, que ayer me indicaron 2 personas, se despeja. No tenía duda alguna, por ser lo más sensato y también, porque la finalidad del partido, es otra muy distinta. Paso a paso, sin pausa. Extracto de la entrevista a @Santi_ABASCAL @vox_es</t>
  </si>
  <si>
    <t>https://pbs.twimg.com/media/Dtp2YS8W0AApnHX.jpg</t>
  </si>
  <si>
    <t>ainhoamenta</t>
  </si>
  <si>
    <t>Si leen la definición de fascismo lo más parecido a esa definición son ellos. Manipulación, populismo, egocentrismo se alzan en voz del pueblo. El pueblo ha hablado en las urnas, sistema democrático español, que parece que solo vale si os es favorable @vox_es @Santi_ABASCAL RT @okdiario: Errejón no regaña a los votantes de VOX pero les tacha de ignorantes: “No se leen los programas”</t>
  </si>
  <si>
    <t>https://twitter.com/okdiario/status/1070284272672665600
https://okdiario.com/espana/2018/12/05/errejon-no-regana-votantes-vox-pero-les-tacha-ignorantes-no-leen-programas-3430852?utm_term=Autofeed&amp;utm_campaign=ok&amp;utm_medium=Social&amp;utm_source=Twitter#Echobox=1544010629</t>
  </si>
  <si>
    <t>Salamanca, España</t>
  </si>
  <si>
    <t>Las locuras que más se lamentan en la vida son las que no se cometieron cuando se tuvo la oportunidad.</t>
  </si>
  <si>
    <t>Una minoría violenta no representa a las movilizaciones antifascistas. En cambio un tuit del ex jefe del KKK si que es puro Vox. De hecho si miráis por la ventana veréis a Santi Abascal con un palo con un clavo persiguiendo negros</t>
  </si>
  <si>
    <t>Su Notísima Reloaded</t>
  </si>
  <si>
    <t>Santi Abascal será la próxima portada del Facha's Health y nos explicará los secretos de ese cuerpazo que tan burra pone a Ana Rosa Quintana #AbascalAR</t>
  </si>
  <si>
    <t>"Yeah? Well... that´s just like... your opinion, man." Soy rojeras y a mucha honra. Si no te gusta, cómprate un Colajet y vete a darle por culo a otro.</t>
  </si>
  <si>
    <t>VitØ</t>
  </si>
  <si>
    <t>#AbascalAR VOX ha conseguido algo increible. Que yo vea Telecirco @vox_es @Santi_ABASCAL</t>
  </si>
  <si>
    <t>Identitario Español Antiglobalización. Socio del Real Madrid. Economista. Trader. " 1,618 " , el número de los dioses. Ø PHI. Especulando desde 1.996</t>
  </si>
  <si>
    <t>Editorial Innisfree</t>
  </si>
  <si>
    <t>Hay que aprenderse las cifras, Don @Santi_ABASCAL. No puede ser que @anarosaq diga una burrada como que en el último año ninguna mujer ha asesinado a nadie, y usted se quede callado cuando el 70% de los infanticidios son cometidos por mujeres.</t>
  </si>
  <si>
    <t>https://www.lasexta.com/programas/mas-vale-tarde/expediente-marlasca/beatriz-de-vicente-casi-el-70-de-los-infanticidios-estan-cometidos-por-mujeres_201807265b59f4b10cf2ad670ba7ae05.html</t>
  </si>
  <si>
    <t>https://pbs.twimg.com/media/Dtp1DH-X4AA9n9h.jpg</t>
  </si>
  <si>
    <t>¡Cuidado! Leer nuestros libros podría cambiar tu vida. Molestando desde 2011 sin subvenciones ni ayudas estatales. http://editorialinnisfree.com</t>
  </si>
  <si>
    <t>WALDO</t>
  </si>
  <si>
    <t>Dice Abascal que le han votado muchos homosexuales, no Santi, te han votado muchos maricones que es muy diferente #AbascalAR</t>
  </si>
  <si>
    <t>Gurtelania</t>
  </si>
  <si>
    <t>¿QUÉ OS PASA HIJOSDEPUTA?</t>
  </si>
  <si>
    <t>http://es.favstar.fm/users/Lascopeta</t>
  </si>
  <si>
    <t>Pablo C.L.</t>
  </si>
  <si>
    <t>Hombre... si además de partidista y centralista es deficitaria. Por qué no?? @Santi_ABASCAL RT @RosaRodaNews: García Egea, dispuesto a estudiar la petición de Vox de cerrar Canal Sur. ¿Harán lo mismo con la 7 si mañana lo pide VOX?  vía @EFEnoticias</t>
  </si>
  <si>
    <t>https://twitter.com/RosaRodaNews/status/1070269208305524736
https://www.efe.com/efe/espana/portada/garcia-egea-dispuesto-a-estudiar-la-peticion-de-vox-cerrar-canal-sur/10010-3833804</t>
  </si>
  <si>
    <t>Cartagena, Spain</t>
  </si>
  <si>
    <t>Cartagenero, I.T./Sistemas en el C.U.D. (A.G.A.). Just personal opinion. Per aspera ad astra</t>
  </si>
  <si>
    <t>Gobierno De España</t>
  </si>
  <si>
    <t>Quien ganaría en una pelea de boxeo entre @Santi_ABASCAL o @Pablo_Iglesias_? 🥊🥊🥊</t>
  </si>
  <si>
    <t xml:space="preserve"> Madrid España</t>
  </si>
  <si>
    <t>Pagina No Oficial De La Casa De Putas Que Es El Gobierno De España</t>
  </si>
  <si>
    <t>VOX Sevilla 🇪🇸</t>
  </si>
  <si>
    <t>No hay nada en sus palabras que no tengan lógica ni sentido. Es la coherencia personificada. Entrevista completa de hoy a @Santi_ABASCAL por #AnaRosaQuintana en #TeleCinco @vox_es 🇪🇸</t>
  </si>
  <si>
    <t>https://m.youtube.com/watch?v=8vcB-oJ5_c0&amp;feature=youtu.be</t>
  </si>
  <si>
    <t>info@sevilla.voxespana.es</t>
  </si>
  <si>
    <t>Cuenta oficial de @vox_es en Sevilla. Por la libertad, la unidad de España y la regeneración democrática. Avda/Luis de Morales, 20 📱 660328996</t>
  </si>
  <si>
    <t>http://www.voxespana.es/sevilla</t>
  </si>
  <si>
    <t>María José Canel</t>
  </si>
  <si>
    <t>El ascenso de @vox_es no solo se explica por el descenso del @PPopular (centroderecha), que perdió 7 diputados con respecto a 2015, sino que la formación presidida por @Santi_ABASCAL exmilitante del PP, tomó también votos de la izquierda y la extrema izquierda de @ahorapodemos</t>
  </si>
  <si>
    <t>#PolCommunication #PublicSectorCommunication Professor @unicomplutense, VicePresident @compolitica Head of @MastCoUCM.Handbk of PubSector Comm (Wiley-Blackwell)</t>
  </si>
  <si>
    <t>http://www.mariajoseCANEL.com</t>
  </si>
  <si>
    <t>Cantabria24horas</t>
  </si>
  <si>
    <t>Lo que @Santi_ABASCAL contó en una sincera entrevista: así piensa realmente @vox_es</t>
  </si>
  <si>
    <t>http://www.cantabria24horas.com/noticias/lo-que-santiago-abascal-cont-en-una-sincera-entrevista-as-piensa-realmente-vox/76095</t>
  </si>
  <si>
    <t>Santander</t>
  </si>
  <si>
    <t>Noticias de Cantabria y actualidad regional</t>
  </si>
  <si>
    <t>http://www.cantabria24horas.com</t>
  </si>
  <si>
    <t>Jaime Pereira</t>
  </si>
  <si>
    <t>Santiago Abascal: «#PedroSánchez no dura ni un minuto en La Moncloa si adelanta las elecciones» El líder de #Vox revela que no tienen «ningún interés» en los cargos de la Junta de Andalucía, pero colaborarán para «expulsar al socialismo» @Santi_ABASCAL</t>
  </si>
  <si>
    <t>http://bit.ly/2ATrVdy</t>
  </si>
  <si>
    <t>Pozuelo de Alarcón, España</t>
  </si>
  <si>
    <t>Nacido en Las Palmas.Gallego de sangre. Vecino de Madrid. Español a tope. Pasión por las personas. Enamorado de la familia.Thinking out of the box 🇪🇸</t>
  </si>
  <si>
    <t>http://www.jaimepereira.es</t>
  </si>
  <si>
    <t>stonohaykienaguante</t>
  </si>
  <si>
    <t>-AZARIAS SANTI ABASCAL HA MATADO A LA MILANA BONITA!! -QUIAA!!</t>
  </si>
  <si>
    <t>Bilbao</t>
  </si>
  <si>
    <t>Vasco, de Bilbao y del Athletic, los de Bilbao nacen donde quieren como Frank Gehry nacido en Canadá pero orgulloso dice que es de Bilbao.</t>
  </si>
  <si>
    <t>James Nava</t>
  </si>
  <si>
    <t>VOX centra la atención informativa y sus propuestas políticas llegan a los ciudadanos cada vez con más fuerza. Su crecimiento es imparable. Teniendo a candidatos como @Santi_ABASCAL y @monasterioR, entre otros, para qué conformarse con piltrafillas</t>
  </si>
  <si>
    <t>https://pbs.twimg.com/media/Dtpw-XgWkAAQ-U7.jpg</t>
  </si>
  <si>
    <t>Escritor, inversor, asesor militar y de inteligencia. Fundador &amp; CEO Sniper Books. Writer, investor, military &amp; intelligence analyst. Founder &amp; CEO Sniper Books</t>
  </si>
  <si>
    <t>http://www.jamesnava.com</t>
  </si>
  <si>
    <t>jose manuel orus</t>
  </si>
  <si>
    <t>Me ha gustado un vídeo de @YouTube ( - SANTI ABASCAL PERSEGUIDO POR DEFENDER ESPAÑA, ¿porque vox ganara las</t>
  </si>
  <si>
    <t>http://youtu.be/bCVXuoyQBsc?a</t>
  </si>
  <si>
    <t>peñalba huesca</t>
  </si>
  <si>
    <t>soy de qwiie de PEÑALBA BALSETON orttjdhaghdk nkksjdgak kldnnwuifbclvmnh</t>
  </si>
  <si>
    <t>Soy 67Quijote</t>
  </si>
  <si>
    <t>Cada día, cada hora me alegro màs, no de haberme afiliado a @vox_es sino que @Santi_ABASCAL a quitado caretas a los verdaderos dictadorzuelos, fascistas, medios que los avalan que habitaban y ocupan en nuestras instituciones.</t>
  </si>
  <si>
    <t>Hidalgo, taurino, soldado, viejo y pobre. Cuenta homenaje a @67quijote desaparecido en combate y enterrado en fosa común. D.E.P Cristo, Belmonte y Enrique Ponce</t>
  </si>
  <si>
    <t>ESPAÑOLES SI NO QUERÉIS VER INCENDIADAS VUESTRAS CALLES POR ACTOS VANDÁLICOS DIRIGIDOS POR EL COLETAS...@vox_es TIENE LA SOLUCIÓN....VIVA @Santi_ABASCAL</t>
  </si>
  <si>
    <t>https://pbs.twimg.com/media/Dtpvmu7X4AELwkt.jpg</t>
  </si>
  <si>
    <t>Anti-Podemos</t>
  </si>
  <si>
    <t>Aquí tenéis la entrevista completa de Ana Rosa a Santi Abascal, líder de Vox. Aquí explica con más detalle sus propuestas más polémicas. Que cada cual saque sus conclusiones.</t>
  </si>
  <si>
    <t>Plataforma de españoles y venezolanos a los que no nos gusta Podemos.</t>
  </si>
  <si>
    <t>https://www.facebook.com/pages/Espa%C3%B1oles-y-Venezolanos-Anti-Podemos/885396501484393?sk=timeline</t>
  </si>
  <si>
    <t>HAY QUE HACER ENTRE TODOS A @Santi_ABASCAL PRESIDENTE PERPETUO DE TODA ESPAÑA....VIVA NUESTRO CAUDILLO, HONRADO QUE NOS LIBRARÁ DE LAS LADILLAS PODEMITAS QUE ARRASAN INCENDIANDO NUESTRAS CIUDADES!</t>
  </si>
  <si>
    <t>https://pbs.twimg.com/media/DtpvHQAWwAAVR6z.jpg</t>
  </si>
  <si>
    <t>Amanda Sánchez de L.</t>
  </si>
  <si>
    <t>#abascalar Viendo los espumarajos de progres &amp; Co, deduzco que @Santi_ABASCAL ha estado certero y brillante en la entrevista. La primera, en horario de máxima audiencia, y subiendo. ¡¡¡Vamos!!!</t>
  </si>
  <si>
    <t>Málaga y Madrid</t>
  </si>
  <si>
    <t>Española, malagueña, del Málaga y del Atleti. Ahí es nada.</t>
  </si>
  <si>
    <t>YA SABÉIS AMIGOS EN TODAS LAS ELECCIONES VENIDERAS...TODOS A UNA MASIVAMENTE A VOTAR A NUESTRO CAUDILLO Y JEFE @Santi_ABASCAL</t>
  </si>
  <si>
    <t>https://pbs.twimg.com/media/DtpujlEWoAIG-QM.jpg</t>
  </si>
  <si>
    <t>La mujer de Santi_ABASCAL, el líder de vox_es, es una influencer alicantina. Tienen dos hijos en común y se casaron en verano</t>
  </si>
  <si>
    <t>https://www.lasprovincias.es/politica/lidia-bedman-mujer-20181011183041-nt.html</t>
  </si>
  <si>
    <t>LAS PROVINCIAS</t>
  </si>
  <si>
    <t>La mujer de @Santi_ABASCAL, el líder de @vox_es, es una influencer alicantina. Tienen dos hijos en común y se casaron en verano</t>
  </si>
  <si>
    <t>Valencia, Spain</t>
  </si>
  <si>
    <t>Noticias de la Comunitat Valenciana, de España y de ámbito internacional WhatsApp: 626641201. Agréganos y envíanos tu nombre. https://telegram.me/lasprovincias</t>
  </si>
  <si>
    <t>http://www.lasprovincias.es</t>
  </si>
  <si>
    <t>Progrestona 🇪🇸</t>
  </si>
  <si>
    <t>Encuentra las 7 diferencias del comienzo de cada uno @Santi_ABASCAL @Pablo_Iglesias_ 👇</t>
  </si>
  <si>
    <t>https://pbs.twimg.com/media/DtptO2nWoAE3nhJ.jpg</t>
  </si>
  <si>
    <t>Mar de Olivos, España.🇪🇸</t>
  </si>
  <si>
    <t>Gay, ESPAÑOL, Madridista, de Derechas, Anticomunista, Antiprogre.. Te doy permiso para que me insultes, me PONE. 🇪🇸🏳‍🌈 #GobiernoDeMierda http://instagram.com</t>
  </si>
  <si>
    <t>Alberto Ibañez ⚓</t>
  </si>
  <si>
    <t>🇪🇸Orgullo de ser Español🇪🇸 #España #SoyEspañol #VOX @vox_es @Santi_ABASCAL</t>
  </si>
  <si>
    <t>https://pbs.twimg.com/media/DtptISwXgAAIHpg.jpg</t>
  </si>
  <si>
    <t xml:space="preserve">Jerez de la Frontera - Cádiz </t>
  </si>
  <si>
    <t>📷Insta Blogger/Influencer 📝Facebook: Alberto Ibáñez Jiménez 🎙Twitter: @albertoibanezj 📧Hotmail: alberto_er23@hotmail.es 📽Cinéfilo</t>
  </si>
  <si>
    <t>http://www.youtube.com/channel/UC67v4QKS-XTl5ixCFppRnfQ?feature=res</t>
  </si>
  <si>
    <t>Andrea Swertz</t>
  </si>
  <si>
    <t>La mayor bajeza dl intento d linchamiento a @Santi_ABASCAL d @anarosaq ha sido cuando le pregunta si lleva un arma para defenderse,a una persona q ha estado y está perseguida x terroristas. Es cm si le preguntamos a ella,si sería + feliz sin botox y quirófanos #VoxAvanza #VOX</t>
  </si>
  <si>
    <t xml:space="preserve">En la Playa </t>
  </si>
  <si>
    <t>A favor del Capitalismo y contra el Populismo</t>
  </si>
  <si>
    <t>Alba Vila</t>
  </si>
  <si>
    <t>Disculpe @anarosaq la primera entrevista a @Santi_ABASCAL fue en @Intereconomia en el informativo de ayer por la noche 😉  RT @anarosaq: Mañana en @elprogramadear la primera entrevista en televisión de @Santi_ABASCAL . Son muchas las preguntas para el lider de @vox_es . La sorpresa en la política española.</t>
  </si>
  <si>
    <t>https://youtu.be/ICi8x1lwVD4
https://twitter.com/anarosaq/status/1070034841066983427</t>
  </si>
  <si>
    <t>Lugo-Madrid</t>
  </si>
  <si>
    <t>Periodista, en los Informativos y en Seis Mujeres sin Piedad de Intereconomía</t>
  </si>
  <si>
    <t>Uno de los eruditos de Podemos, Echenique, acaba de llamar a @Santi_ABASCAL Torrente. Sigan hablando, más duele.</t>
  </si>
  <si>
    <t>Siempre INVICTA NO&amp;DO</t>
  </si>
  <si>
    <t>Angel C. de Rivas</t>
  </si>
  <si>
    <t>LA VERDAD SOBRE SANTIAGO ABASCAL ¿Cómo se gana la vida Santi Abascal? ¿Es realmente quien dice ser? Te lo contamos en viñetas</t>
  </si>
  <si>
    <t>https://www.eljueves.es/temazo/verdad-sobre-santiago-abascal_2997</t>
  </si>
  <si>
    <t>Me he pasado veinte minutos mirando como una mosca se frotaba las patas ... ME PARECE INCREÍBLE CON QUE TONTERÍAS SE ENTRETIENEN LAS MOSCAS</t>
  </si>
  <si>
    <t>http://elrincndedonnadie.blogspot.com</t>
  </si>
  <si>
    <t>Más comentados ahora en Derecha/Centro Dcha.: ➀ @Santi_ABASCAL ↑ ➁ @ahorapodemos ↓ ➂ @josepramonbosch ↓ ➃ @vox_es ↓ ➄ @juanchoex ↑ ➅ @sanchezcastejon ↑ ➆ @PPopular ↑ ➇ @elmundoes ↑ ➈ @elprogramadear ↑↑ ➉ @Alvisepf ↑</t>
  </si>
  <si>
    <t>🇪🇸✌️ @Santi_ABASCAL Es un hombre hecho y de extrema necesidad. #EspañaViva RT @MaceirasRam: Parece que se rompió el cerco mediático. Abascal es un monstruo televisivo. #AbascalAR</t>
  </si>
  <si>
    <t>https://twitter.com/MaceirasRam/status/1070246527149502464</t>
  </si>
  <si>
    <t>https://pbs.twimg.com/media/DtpHilPWwAA0xhN.jpg</t>
  </si>
  <si>
    <t>Más influyentes ahora en Derecha/Centro Dcha.: ➀ @Santi_ABASCAL ↑ ➁ @josepramonbosch ↓ ➂ @elmundoes ↑ ➃ @juanchoex ↑ ➄ @Alvisepf ➅ @javiernegre10 ↑ ➆ @Miotroyo2parte ↑ ➇ @elprogramadear ↓ ➈ @libertaddigital ↓</t>
  </si>
  <si>
    <t>Las neuronas 100% autónomas se descojonan, en primera persona, de el sujeto analfabeto nazi @Santi_ABASCAL, y este lo transforma en violencia contra su puta madre, cuñaos etc..¿no @jcfuertes? Alemania e Italia ya no apoyan a los golpistas naziespañolistas, ¿no @AngelaMerkeICDU?.</t>
  </si>
  <si>
    <t>alejandro B. pujol</t>
  </si>
  <si>
    <t>Puede haber alguien mas cínico que @pnique. En la misma frase es capaz de justificar a anguita por llevar pistola (estaba amenazado) y criticar a @Santi_ABASCAL por llevar pistola (pese a estar amenazado tambien). @DebatAlRojoVivo #tiempopactosarv</t>
  </si>
  <si>
    <t xml:space="preserve">Santander </t>
  </si>
  <si>
    <t>graduado en derecho, taurino, ciudadano, madridista, defensor de la pena de muerte y del derecho al libre porte de armas.</t>
  </si>
  <si>
    <t>María Blanco</t>
  </si>
  <si>
    <t>Hordas comunistas... aullaran... no sé @Santi_ABASCAL igual hay que rebajar el tono RT @Santi_ABASCAL: Después de que hordas comunistas empujadas por Pablo Iglesias aullaran pidiendo descuartizar "a pedazos" a los miembros de VOX, vemos como hay periodistas señalando direcciones y a familiares de candidatos. Tomamos nota. Pero ya advertimos: serán culpables de las consecuencias.</t>
  </si>
  <si>
    <t>https://twitter.com/santi_abascal/status/1069949221175001089</t>
  </si>
  <si>
    <t>Of all tyrannies, a tyranny exercised for the good of its victims may be the most oppressive C.S. Lewis</t>
  </si>
  <si>
    <t>https://godivaciones.es/</t>
  </si>
  <si>
    <t>JorgeCCMM</t>
  </si>
  <si>
    <t>Entrevista completa #AnaRosaQuintana #Santi_Abascal #tele5 #VOX</t>
  </si>
  <si>
    <t>D@lston, London</t>
  </si>
  <si>
    <t>e-Learning, Instructional Design, Moodle Admin, Counselling and Ventures.</t>
  </si>
  <si>
    <t>http://about.me/JorgeCCMM</t>
  </si>
  <si>
    <t>Daniel Seixo</t>
  </si>
  <si>
    <t>Hay que ser muy miserable para comparar el continuo alarde de @Santi_ABASCAL de ir armado, con las declaraciones de Julio Anguita reconociendo que durante el golpe de estado esperó su destino con un arma en el cajón #tiempopactosarv</t>
  </si>
  <si>
    <t>Galiza</t>
  </si>
  <si>
    <t>"A vergonza é pior que a fame" Alfonso Castelao. Columnista e Coordinador en @NuevaRevoluci0n</t>
  </si>
  <si>
    <t>http://nuevarevolucion.es/firmas/daniel-seijo/</t>
  </si>
  <si>
    <t>El SG del PP, @TeoGarciaEgea, dispuesto a estudiar el cierre de @canalsur que propone @Santi_ABASCAL."Prefiero no tener Canal Sur y tener endoscopios en los hospitales de Almería". Perfecto, ojalá el día después del cierre CS no haya ningún hospital sin endoscopio #demagogia</t>
  </si>
  <si>
    <t>Manuelo 🇪🇸🇪🇸🇪🇸🇪🇸🇪🇸🇪🇸🇪🇸🇪🇸🇪🇸</t>
  </si>
  <si>
    <t>Simplemente de crack. Cómo bien dice @WharfRat_DE , hace solo 3 años. Tenacidad, pasión , verdad, y 12 escaños a la primera. Viva y olé tú tenacidad y visión de España, @Santi_ABASCAL , nuestra España RT @WharfRat_DE: Esta foto es una maravilla. Es de hace apenas 3 años. ¿Qué os dice? A mí me dice principios, tenacidad, valentía. .</t>
  </si>
  <si>
    <t>https://twitter.com/WharfRat_DE/status/1070281960382234625</t>
  </si>
  <si>
    <t>https://pbs.twimg.com/media/DtpnmWwWwAAbDlI.jpg</t>
  </si>
  <si>
    <t>El Mundo Mundial</t>
  </si>
  <si>
    <t>Quédate con quién valga la alegría, no la pena</t>
  </si>
  <si>
    <t>Santiago Abascal en El Programa de AR: 'Somos un partido de extrema necesidad @vox_es @Santi_ABASCAL 👏👏👏👏  vía @MediterraneoDGT</t>
  </si>
  <si>
    <t>https://www.mediterraneodigital.com/espana/nacional/santiago-abascal-en-el-programa-de-ar-somos-un-partido-de-extrema-necesidad.html</t>
  </si>
  <si>
    <t>William Munny</t>
  </si>
  <si>
    <t>Es gracioso ver como @anarosaq le pregunta a @Santi_ABASCAL si va al gimnasio a hacer pesas. @telecincoes en su línea de sexualizar la información. Como les gusta el morbo. #AbascalAR</t>
  </si>
  <si>
    <t>satelite</t>
  </si>
  <si>
    <t>Procedo del país con mas odio a sí mismo antes visto donde lo políticamente correcto dirige al Estado. Un Estado gobernado por artífices de la destrucción.</t>
  </si>
  <si>
    <t>Paco González 🇪🇸🇪🇺</t>
  </si>
  <si>
    <t>Si algo me queda claro después de ver esto, es que me da a mí en la nariz que a @Santi_ABASCAL no lo va a amedrentar ningún podemita quemando contenedores, ni se va a achantar ante indepes y golpistas. Para mi que viene curtido de origen. RT @golorico: @cmgorriaran El de rojo es @Santi_ABASCAL y el de amarillo su padre y yo vi eso por la televisión desde mi casa siendo una cría. Era la normalidad con la que había que vivir y ahora toda la izquierda española son Batasuna pura.</t>
  </si>
  <si>
    <t>https://twitter.com/golorico/status/1069899405040476161
https://youtu.be/2PoI1Qtn0XA</t>
  </si>
  <si>
    <t>Cádiz / Jerez / Bogotá</t>
  </si>
  <si>
    <t>Socioliberal y antipopulista. Me preocupa España. Me interesa Europa, Iberoamérica, el mar y el medio ambiente. Lo intentamos en UPyD. Ya no más, fue suficiente</t>
  </si>
  <si>
    <t>http://elasterisco.es</t>
  </si>
  <si>
    <t>Bueno para pensar</t>
  </si>
  <si>
    <t>Vaya,🤔 @Rita_Maestre esperando que un señor de @vox_es diga que hay que hacer todo tipo de barbaridades a una mujer para que el votante de #VOX se arrepienta. ¿Es VOX un partido fascista, racista y machista o es que lo están deseando? @monasterioR @voxnoticias_es @Santi_ABASCAL</t>
  </si>
  <si>
    <t>pic.twitter.com/WKhpz7LXTo</t>
  </si>
  <si>
    <t>en la materia</t>
  </si>
  <si>
    <t>Tuiteo obra del filósofo #GustavoBueno y critico desde una perspectiva materialista. #filosofía #materialismo #filomat #España</t>
  </si>
  <si>
    <t>Caveira</t>
  </si>
  <si>
    <t>Vox veta a La Sexta, pero Santi Abascal va a una entrevista al programa de Ana Rosa Quintana en Telecinco. Nada más que decir, señoría.</t>
  </si>
  <si>
    <t>fuxe-fuxe</t>
  </si>
  <si>
    <t>Mis tuits son malos,pero son mios.Rt de perlas e interactuo por lo dedos.A joder a otro lado.A chorar teño tempo.Mi encabezado lo hizo @Rockconlimon</t>
  </si>
  <si>
    <t>Er Kishi, alcalde de Cádiz, cuando protestaba DEMOCRÁTICAMENTE, Hulio @okdiario @HerreraenCOPE @COPE @Santi_ABASCAL @CiudadanosCs @PPopular @ahorapodemos @ElAguijon_ @rosadiezglez @TeresaRodr_ @CristinaSegui_ @SextaNocheTV @DebatAlRojoVivo @carlosherreracr</t>
  </si>
  <si>
    <t>pic.twitter.com/e5vqsQupPX</t>
  </si>
  <si>
    <t>Juanmi Manchegas</t>
  </si>
  <si>
    <t>Lo hacen los cachorros filoetarras de @Pablo_Iglesias_ y nos parece simpático, si @Santi_ABASCAL propone algo así lo condenamos por fascista y provocador</t>
  </si>
  <si>
    <t>No confundas mi personalidad con mi actitud. Mi personalidad es lo que soy. Mi actitud depende de lo que tu seas conmigo</t>
  </si>
  <si>
    <t>http://patronesenlatormenta.blogspot.com.es/</t>
  </si>
  <si>
    <t>Triste, muy triste por lo que he visto esta mañana. Una @anarosaq casi pidiendo disculpas por entrevistar a @Santi_ABASCAL y muy tensa. Relájate, ese señor sólo quiere la unidad de España y la convivenvia entre los españoles. Son otros los que debieran asustarte. @vox_malaga</t>
  </si>
  <si>
    <t>https://pbs.twimg.com/media/DtpoR7_XQAAGiNq.jpg</t>
  </si>
  <si>
    <t>La Boheme</t>
  </si>
  <si>
    <t>Leed la entrevista de García Cuartango a @Santi_ABASCAL en el ABC de hoy...y que alguien me diga qué hay que sea “no constitucional”. Cambiar la Constitución es constitucional si se hace por sus cauces. Yo veo sensatez y conexión con mucha gente.</t>
  </si>
  <si>
    <t>https://www.abc.es/espana/abci-santiago-abascal-sanchez-no-dura-minuto-moncloa-si-adelanta-elecciones-201812042205_noticia.html</t>
  </si>
  <si>
    <t>Je ne sais pas quoi</t>
  </si>
  <si>
    <t>miguel angel garrido</t>
  </si>
  <si>
    <t>Seguro que Ana Rosa ha sido más blanda con Santi Abascal que con cualquier dirigente de @ahorapodemos RT @humorindignado: Cuando se blanquea y normaliza a la extrema derecha desde los médios, fenómenos como este se vuelven habituales #AbascalAR  vía @YouTube</t>
  </si>
  <si>
    <t>https://twitter.com/humorindignado/status/1070280554728312832
https://youtu.be/GGEKSWjifGQ</t>
  </si>
  <si>
    <t>sevilla</t>
  </si>
  <si>
    <t>J. G. P.</t>
  </si>
  <si>
    <t>Pero Ciudadanos no era también extrema derecha??? De hecho, para Podemos cualquiera entre Gaspar Llamazares y Santi Abascal son extrema derecha...</t>
  </si>
  <si>
    <t>https://www.elmundo.es/espana/2018/12/05/5c07b140fc6c834c318b4680.html</t>
  </si>
  <si>
    <t>Entre Huelva y Sevilla</t>
  </si>
  <si>
    <t>Padre (x2). Enfermero en HUV Macarena. Mezcla Canario-Andaluz. #NoSinEvidencia. ATLETISMO. RECREATIVO DE HUELVA.</t>
  </si>
  <si>
    <t>Me llega ésto a través de mis seguidores. Comparto para que np se olvide nadie de la historia de @Santi_ABASCAL. Y doy fe que es real.</t>
  </si>
  <si>
    <t>https://m.facebook.com/story.php?story_fbid=2248946295129400&amp;id=885396501484393</t>
  </si>
  <si>
    <t>Efesios 61317</t>
  </si>
  <si>
    <t>Pablo Iglesias.Escuchando ayer tu respuesta a Santi Abascal,se me llenaron los ojos de lagrimas por la emocion de ver el gran corazon que tienes,desenado salud a Santiago,su mujer y familia,y solo puedo desearte lo mismo:"Salud para Ti, Tu Compañera y tus Hijos" con mucho cariño.</t>
  </si>
  <si>
    <t>A l b a 🌈</t>
  </si>
  <si>
    <t>Que alguien le diga a @Santi_ABASCAL que deje de jugar a Pokémon, que ya tiene una edad para esto. #AbascalAR</t>
  </si>
  <si>
    <t>pic.twitter.com/mvxwbtYmPa</t>
  </si>
  <si>
    <t>Terrassa (Barcelona)</t>
  </si>
  <si>
    <t>Viajar ↔ Aprender💪🏽Técnica de deporte📚Educación por bandera👩🏻‍🏫 • ⚽️ • Feminismo♀•</t>
  </si>
  <si>
    <t>https://www.youtube.com/watch?v=aPF5KIfOkpQ&amp;t=15s</t>
  </si>
  <si>
    <t>NO CONOCE NI A ESPAÑA NI A VOX Y ENCIMA NO VE QUE RECUPERAR ANDALUCÍA ES MÁS IMPORTANTE QUE RECUPERAR BARCELONA Valls dice a Cs que "no puede haber ningún pacto con VOX"- Libertad Digital | Versión Móvil (mobile)  @Santi_ABASCAL @CasaReal @monasterioR</t>
  </si>
  <si>
    <t>https://www.libertaddigital.com/espana/2018-12-05/valls-dice-a-cs-que-no-puede-haber-ningun-pacto-con-vox-1276629397/</t>
  </si>
  <si>
    <t>Beast with human shape</t>
  </si>
  <si>
    <t>Espero que en España luchemos y os echemos de este sociedad. Sois cómplices de los genocidas chapistas @pnique @podemos @ierrejon gracias a @vox_es y @Santi_ABASCAL @Ortega_Smith por luchar contra los comunistas RT @TorresAren: #Temblor POR HAMBRE Y FALTA DE MEDICINAS La DICTADURA de MADURO tiene la meta de gobernar un pueblo MUERTO de HAMBRE y falta de MEDICINAS Sin tratamiento Para la Epilepsia y 2 días sin COMER este joven se desmaya en vía Publica.  #O5 #6Dic #FelizJueves</t>
  </si>
  <si>
    <t>https://twitter.com/torresaren/status/1070275212049031168</t>
  </si>
  <si>
    <t>pic.twitter.com/ag3Sb3cdLu</t>
  </si>
  <si>
    <t>Fighting against new separatist nazis in Catalonia. Your block is my medal!!</t>
  </si>
  <si>
    <t>📽️Entrevista de ABC a @Santi_ABASCAL : "La agresividad hacia VOX de @ahorapodemos es enmascarar su gran fracaso" "Si se adelantan las elecciones, @sanchezcastejon no dura ni un minuto en La Moncloa"....⤵️ @vox_es #AbascalAR #VOX #FelizMiercoles</t>
  </si>
  <si>
    <t>pic.twitter.com/Kqn0KP7lte</t>
  </si>
  <si>
    <t>JaviCK</t>
  </si>
  <si>
    <t>Donde puedo ver repetida la entrevista completa de @anarosaq a @Santi_ABASCAL ?? #AbascalAR</t>
  </si>
  <si>
    <t>⚽️ATLÉTICO DE MADRID⚽️ 🇪🇸🏧🍺⚽</t>
  </si>
  <si>
    <t>Josu</t>
  </si>
  <si>
    <t>La línea rojigualda que no va a ser traspasada. @Santi_ABASCAL de @vox_es eso si que es patriotismo en todas sus versiones</t>
  </si>
  <si>
    <t>Tecnico en emergencias sanitarias, fanatico de apple,madridista, runner y buen tio en general.</t>
  </si>
  <si>
    <t>ⅅAℕℐ</t>
  </si>
  <si>
    <t>No sé que sensaciones tendréis... pero @Santi_ABASCAL tampoco está diciendo nada del otro mundo... #AbascalAR</t>
  </si>
  <si>
    <t>Hablando mucho de todo un poco. Me suelo indignar con facilidad. Y poco mas.</t>
  </si>
  <si>
    <t>Chatbot para Empresa</t>
  </si>
  <si>
    <t>Vía:@telecincoes | 'Eres de @vox_es y no lo sabes’: WhatsApp, la herramienta 'secreta' de @Santi_ABASCAL en la campaña andaluza</t>
  </si>
  <si>
    <t>http://bit.ly/2rmw7OG</t>
  </si>
  <si>
    <t>https://pbs.twimg.com/media/DtpEu4XWkAYdJnp.jpg</t>
  </si>
  <si>
    <t>¿Quieres agradecer a tus followers con un tweet? Pregunta por nuestros planes vía DM #empresas #negocios</t>
  </si>
  <si>
    <t>En Jake</t>
  </si>
  <si>
    <t>🔴¿De qué ha vivido @Santi_ABASCAL hasta ahora? @InazioLopez te lo explica en #EnJakeETB  @xlapitz</t>
  </si>
  <si>
    <t>https://www.eitb.eus/es/television/programas/en-jake/</t>
  </si>
  <si>
    <t>pic.twitter.com/MpGgSxqgRu</t>
  </si>
  <si>
    <t>@Xlapitz presenta En Jake en @euskaltelebista de lunes a viernes, a las 11h30 en ETB2. Toda la actualidad desde la perspectiva de Euskadi.</t>
  </si>
  <si>
    <t>http://www.eitb.eus/es/television/programas/en-jake/</t>
  </si>
  <si>
    <t>Telecinco</t>
  </si>
  <si>
    <t>La "línea rojigualda" de @Santi_ABASCAL en Andalucía: "Hay que suprimir el impuesto de sucesiones" #AbascalAR</t>
  </si>
  <si>
    <t>http://bit.ly/2BRAbMB</t>
  </si>
  <si>
    <t>https://pbs.twimg.com/media/Dtpa3fFW4AAFXUj.jpg</t>
  </si>
  <si>
    <t>Mediaset España</t>
  </si>
  <si>
    <t>Entretenimiento y noticias. Aquí podrás estar al día de lo último sobre programas y series y recibirás las noticias más interesantes y curiosas</t>
  </si>
  <si>
    <t>http://www.telecinco.es</t>
  </si>
  <si>
    <t>Rodrigo Sáez</t>
  </si>
  <si>
    <t>Experimento de arbitrariedad mediática: @Pablo_Iglesias_: Alerta Antifascista! Analisis: Anécdota informativa, libertad de expresión @Santi_ABASCAL, (Supuesto): Convoco a los militantes para la lucha contra el comunismo y la ultra izquierda Analisis: II Guerra Civil Española</t>
  </si>
  <si>
    <t xml:space="preserve">Ceuta </t>
  </si>
  <si>
    <t>Domingo Jaén</t>
  </si>
  <si>
    <t>Si es que lleva toda la razón del mundo, ha dicho verdades como puños, lo que pasa que usa un lenguaje políticamente incorrecto y la gente se echa las manos a la cabeza, hoy señores @Santi_ABASCAL ha explicado qué es Vox y que pretende hacer y no lo que difaman en los medios</t>
  </si>
  <si>
    <t>Jerez de la Frontera</t>
  </si>
  <si>
    <t>Estudiante de Ingeniería Aeroespacial en la Universidad de Cádiz. Me encanta viajar y estar con mi familia y amigos.</t>
  </si>
  <si>
    <t>https://www.instagram.com/dominjaen99/</t>
  </si>
  <si>
    <t>El desconocimiento y los peores instintos de alguna gente les hace votar a VOX. @Santi_ABASCAL y los suyos, el único ideario político es volver al franquismo y acabar con todos los derechos alcanzados con tantos sacrificios y luchas #AbascalAR</t>
  </si>
  <si>
    <t>https://pbs.twimg.com/media/DtpktMBWsAADVRp.jpg</t>
  </si>
  <si>
    <t>QueridaEspaña🇪🇸</t>
  </si>
  <si>
    <t>Menos mal que @Santi_ABASCAL ha dicho "propongo", no como otros que gobiernan por imposición, vía decretazo. RT @ElAnalista17: #VOX en su programa propone ilegalizar los partidos no constitucionalistas. No tienen vergüenza. #AbascalAR</t>
  </si>
  <si>
    <t>https://twitter.com/elanalista17/status/1070256233033150464</t>
  </si>
  <si>
    <t>https://pbs.twimg.com/media/DtpQVtCWsAAUpI1.jpg</t>
  </si>
  <si>
    <t>En defensa de España, como Nacion y como Pueblo. Democracia y Constitución. Con nuestra Guardia Civil y Policía Nacional #EquiparacionYa</t>
  </si>
  <si>
    <t>Cuando @Santi_ABASCAL cobraba más que el Presidente del Gobierno por cargos a dedo pagados con dinero público. #AbascalAR #FelizMiércoles</t>
  </si>
  <si>
    <t>Fede Durán</t>
  </si>
  <si>
    <t>Demonios (y peajes) de cada candidato: -@susanadiaz: @sanchezcastejon -@JuanMa_Moreno: @pablocasado_ @PP_JavierArenas -@JuanMarin_Cs: @Albert_Rivera @manuelvalls @Santi_ABASCAL #EleccionesAndalucia @PSOE @CiudadanosCs @PPopular</t>
  </si>
  <si>
    <t>Periodista, escritor. A veces hago fotos.</t>
  </si>
  <si>
    <t>https://www.instagram.com/sansonberlin/</t>
  </si>
  <si>
    <t>jkarlos</t>
  </si>
  <si>
    <t>Ya era hora de que alguien pensara en los españoles. #AbascalAR @vox_es @Santi_ABASCAL</t>
  </si>
  <si>
    <t>https://pbs.twimg.com/media/DtpjxVjW0AEnvIN.jpg</t>
  </si>
  <si>
    <t>"Ignorar la Historia nos expone a repetir los errores del pasado, y también a hablar muchas cosas sin sentido". 🇪🇸</t>
  </si>
  <si>
    <t>#VoxYVotoARV "Esto va xra quienes habéis votado a la ULTRADERECHA Ñ🇪🇸 en las #eleccionesAndalucía y no sabéis en k consiste el programa electoral del partido NAZI @vox_es aquí @Santi_ABASCAL junto a Marinne Le Pen del @FrenteNacionaIP "Ferreras, pásalo" "Más Pperiodismo"una 💩💩</t>
  </si>
  <si>
    <t>https://pbs.twimg.com/media/DtpkFZ8XgAAbMbz.jpg</t>
  </si>
  <si>
    <t>.@Santi_ABASCAL o el líder que quiere acabar con el pesebre público del que ha vivido toda su vida. #AbascalAR #FelizMiércoles</t>
  </si>
  <si>
    <t>pic.twitter.com/s9iH0hZNgk</t>
  </si>
  <si>
    <t>Oihane Mariñelarena</t>
  </si>
  <si>
    <t>El Sr @Santi_ABASCAL cobro y vivió de dinero público desde los 23, señalado por esperanza a guirre a dedazo y marcado x la gurtel... Ahí lo tenéis. Gracias. &amp; #*@~#@*</t>
  </si>
  <si>
    <t>Voice Over Actress, Sound Engineer &amp; Japanese and English into Basque and Spanish translator among other things #NOTTIP #WTFU #Activista</t>
  </si>
  <si>
    <t>RECUERDAS? Los @sueldospublicos que ya ha cobrado @Santi_ABASCAL y el que puede percibir si consigue ser diputado en el @Congreso_Es  @vox_es</t>
  </si>
  <si>
    <t>https://pbs.twimg.com/media/DtpjRcvWwAAu4lF.jpg</t>
  </si>
  <si>
    <t>Roberto Villarroel F</t>
  </si>
  <si>
    <t>Que dice Santi Abascal, ejemplo como pocos de empresario y luchador infatigable desde muy joven defendiendo el progreso del Ezpañol (Él) q 180.000 € no dan para nada. Tenemos q suprimir autonomías con un poco de suerte multiplicamos esa cantidad por 17</t>
  </si>
  <si>
    <t>Vigo, España</t>
  </si>
  <si>
    <t>marisa paredes</t>
  </si>
  <si>
    <t>Que callados estáis con la entrevista de @Santi_ABASCAL en el diario de @anarosaq? Ha sido un hombre coherente, valiente, lo que ha dicho lo pensamos muchos.Cobardes,ni siquiera tenéis la valentía de dar la razón a ÉL.LO PENSAMOS MUCHOS MÁS DE LO Q CREÉIS. COBARDE. YO SI. RT @anarosaq: Mañana en @elprogramadear la primera entrevista en televisión de @Santi_ABASCAL . Son muchas las preguntas para el lider de @vox_es . La sorpresa en la política española.</t>
  </si>
  <si>
    <t>https://twitter.com/anarosaq/status/1070034841066983427</t>
  </si>
  <si>
    <t>Dagda Mor</t>
  </si>
  <si>
    <t>De esto no decís nada verdad? @laSextaTV @jordievole #abascalar #Andalucia #EleccionesAndalucia #VOX @Santi_ABASCAL vaya manipulación tenemos en este país que sólo salen las noticias que interesan a los que gobiernan... Y tienen la poca vergüenza de tachar a VOX de fascismo... RT @elmundoes: Agreden a un estudiante de Vitoria por defender la unidad de España</t>
  </si>
  <si>
    <t>https://twitter.com/elmundoes/status/1070150699609149440
https://trib.al/1Ra6w7w</t>
  </si>
  <si>
    <t>las 4 tierras</t>
  </si>
  <si>
    <t>Soy el Dagda Mor, el ente más poderoso en las 4 tierras. Mostrad respeto y pleitesia</t>
  </si>
  <si>
    <t>🔴@Santi_ABASCAL: “No ponemos obstáculos al cambio en Andalucía. No tenemos interés en cargos o en participar en el Gobierno”. #EnJakeETB  @xlapitz</t>
  </si>
  <si>
    <t>https://pbs.twimg.com/media/Dtph4WSXcAANOhJ.jpg</t>
  </si>
  <si>
    <t>El Canario Optimista</t>
  </si>
  <si>
    <t>Yo creo que a AR las aletitas le hacen palmas con Santi Abascal.</t>
  </si>
  <si>
    <t>Vivo en un archipiélago</t>
  </si>
  <si>
    <t>Experto en lixiviado verbal. A veces digo vosotros en lugar de ustedes. Sí, soy bastante gilipollas. Ah, y me gustan los barraquitos.</t>
  </si>
  <si>
    <t>Ramón Díaz González</t>
  </si>
  <si>
    <t>Excelente entrevista de @anarosaq a @Santi_ABASCAL . Recomiendo que la vean para ver que es Vox antes de criticar sin fundamento.</t>
  </si>
  <si>
    <t>Estudiando periodismo en @uneatlantico. Rafael Nadal. Real Oviedo</t>
  </si>
  <si>
    <t>ManuCL</t>
  </si>
  <si>
    <t>Oye @Santi_ABASCAL, ¿la sentencia de la 'manada' es ideología de género?</t>
  </si>
  <si>
    <t>Villaquilambre, España</t>
  </si>
  <si>
    <t>En proceso de deconstrucción, en proceso de construcción de una persona mejor.</t>
  </si>
  <si>
    <t>Jesús Barberá⚡</t>
  </si>
  <si>
    <t>Vaya pedazo de gilipollas que es @Santi_ABASCAL @vox_es, a ver que daño estará haciendo Canal Sur xdddddd RT @apuente: Vox exige el cierre de Canal Sur porque la ultraderecha (1) odia las comunidades autónomas y porque (2) odia los medios públicos. Felicidades a quienes hicieron suyo el mismo marco para TV3, y un abrazo a los profesionales de Canal Sur.</t>
  </si>
  <si>
    <t>https://twitter.com/apuente/status/1070069022266458113
https://www.elconfidencial.com/elecciones-andalucia/2018-12-04/santiago-abascal-canal-sur-vox_1685166/</t>
  </si>
  <si>
    <t>Chiclana, Cádiz</t>
  </si>
  <si>
    <t>1999. Fórmula 1. #MakeChesterProud @LinkinPark @SkilletMusic @PapaRoach</t>
  </si>
  <si>
    <t>La actriz @AnabelAlonso_of opina de @vox_es lo que pensamos la mayoría, y a la gente que no le gusta es lo que hay. Son fascistas y mentirosos empezando por @Santi_ABASCAL otra rana 🐸 de Esperanza Aguirre...</t>
  </si>
  <si>
    <t>Antonio Manzano 🇪🇸</t>
  </si>
  <si>
    <t>SANTIAGO ABASCAL ⁦⁦@Santi_ABASCAL⁩ ⁦@vox_es⁩ : “Yo me identifico con un proyecto: con la bandera, con la unidad del país, con las libertades. Las siglas son un instrumento y no un fin“.</t>
  </si>
  <si>
    <t>Salamanca-España.</t>
  </si>
  <si>
    <t>Taurino por convicción • amante del toro y del caballo • MANZANARISTA por fe y de toda su cuadrilla • ESPERANZA de TRIANA nuestra protectora.</t>
  </si>
  <si>
    <t>http://www.josemariamanzanares.com</t>
  </si>
  <si>
    <t>Shhhssssss....calla, calla, no le digas eso @Santi_ABASCAL , que entonces no se va nunca..... RT @AntoniolaLEY: Santiago Abascal: «Sánchez no dura ni un minuto en La Moncloa si adelanta las elecciones»  vía @ABCespana</t>
  </si>
  <si>
    <t>https://twitter.com/AntoniolaLEY/status/1070273284393046016
https://www.abc.es/espana/abci-santiago-abascal-sanchez-no-dura-minuto-moncloa-si-adelanta-elecciones-201812042205_noticia.html#ns_campaign=rrss-inducido&amp;ns_mchannel=abc-es&amp;ns_source=tw&amp;ns_linkname=noticia-video&amp;ns_fee=0</t>
  </si>
  <si>
    <t>Un Español</t>
  </si>
  <si>
    <t>Esto es destilar mucho odio y maldad ... Esta cuenta debe reportarse. @vox_es @Santi_ABASCAL @voxnoticias_es RT @telesdemileto: Estimado señor demonio, usted que carga las armas como bien sabe la gente, cargue por favor la de Abascal y que parezca un accidente. #AbascalAR</t>
  </si>
  <si>
    <t>https://twitter.com/telesdemileto/status/1070268610566909952</t>
  </si>
  <si>
    <t>España es una, no 50 como nos quieren hacer creer. 🇪🇸🇪🇸🇪🇸. Anti-coletas. Orgulloso militante de #Vox desde cuando éramos solo unos cuantos.</t>
  </si>
  <si>
    <t>Más comentados ahora en Derecha/Centro Dcha.: ➀ @Santi_ABASCAL ↓ ➁ @ahorapodemos ↓ ➂ @josepramonbosch ↓ ➃ @vox_es ↓ ➄ @PPopular ↓ ➅ @juanchoex ↓ ➆ @Pablo_Iglesias_ ↓ ➇ @elmundoes ↑↑ ➈ @Alvisepf ↑ ➉ @sanchezcastejon ↑</t>
  </si>
  <si>
    <t>Más influyentes ahora en Derecha/Centro Dcha.: ➀ @Santi_ABASCAL ↓ ➁ @josepramonbosch ↓ ➂ @juanchoex ↓ ➃ @Alvisepf ↑ ➄ @elmundoes ↑↑ ➅ @JosPastr ↑ ➆ @libertaddigital ↑↑ ➇ @javiernegre10 ↑ ➈ @Miotroyo2parte ↑</t>
  </si>
  <si>
    <t>CÓRDOBA 🇪🇸</t>
  </si>
  <si>
    <t>Por si no lo habéis visto @Santi_ABASCAL @PerdigueroSIPEp @Ortega_Smith @javiernegre10 @ldpsincomplejos @perezreverte los fascistas RT @liberal_mirada: Un podemita "güebos gordos" amenazando a la gente de bien: "Voy a matar a esos fascistas".</t>
  </si>
  <si>
    <t>https://twitter.com/liberal_mirada/status/1070263688182071296</t>
  </si>
  <si>
    <t>pic.twitter.com/73LhqIooRh</t>
  </si>
  <si>
    <t>Carlos García de Pedraza</t>
  </si>
  <si>
    <t>Dice @anarosaq que la de hoy ha sido la primera entrevista en televisión a @Santi_ABASCAL . De verdad, me da pereza buscar, pero fijo que si me pongo encuentro por lo menos cien. #AbascalAR RT @anarosaq: Mañana en @elprogramadear la primera entrevista en televisión de @Santi_ABASCAL . Son muchas las preguntas para el lider de @vox_es . La sorpresa en la política española.</t>
  </si>
  <si>
    <t>https://m.facebook.com/profile.php?id=19704443050487 Info http://bit.ly/CGdP_Info -Responsable/coord @VOX_Valencia Abastos(Extramurs+Olivereta)+Patraix(Patraix+Jesús)</t>
  </si>
  <si>
    <t>http://vlazeck.blogspot.com/</t>
  </si>
  <si>
    <t>Vox_Cantabria</t>
  </si>
  <si>
    <t>Entrevista en directo a #SantiagoAbascal por El Programa de Ana Rosa Quintana en Telecinco: @elprogramadear @Santi_ABASCAL TITULARES "Una de nuestras 'líneas rojigualdas' es ELIMINAR EL IMPUESTO DE...</t>
  </si>
  <si>
    <t>https://www.facebook.com/1123011491044860/posts/2267549676591030/</t>
  </si>
  <si>
    <t>Cuenta Oficial de #Vox en Cantabria. Partido creado para la renovación política. ✉️ info@cantabria.voxespana.es ☎️ 615 93 42 75</t>
  </si>
  <si>
    <t>Javi</t>
  </si>
  <si>
    <t>Os imaginais que @vox_es @Santi_ABASCAL @Ortega_Smith llegan a Catalunya y cierran #tv3 ? Espero que NO #FelizMiercoles #abascalar</t>
  </si>
  <si>
    <t>Juanjo Bandera</t>
  </si>
  <si>
    <t>He visto la entrevista de Ana Rosa Quintana a @Santi_ABASCAL , éste tipo es un personaje, siniestro, dañino, y sobretodo peligroso para España.</t>
  </si>
  <si>
    <t>El Universo</t>
  </si>
  <si>
    <t>'Cuando siento una necesidad de religión, salgo de noche a pintar las estrellas.''</t>
  </si>
  <si>
    <t>pablo martinez</t>
  </si>
  <si>
    <t>De verdad, hay que ser bobo para criticar a una periodista por entrevistar a @Santi_ABASCAL porque 'se blanquea el fascismo' cuando lo que entonces instigas es poner límites a la libertad de expresión, de prensa y de voto; actitud nada totalitaria por supuesto...</t>
  </si>
  <si>
    <t>Madrid - BDM</t>
  </si>
  <si>
    <t>CCPP+Economía URJC. Todo tiene una razón. Viviremos una vida sin arrepentimientos.</t>
  </si>
  <si>
    <t>Maria Guerrero</t>
  </si>
  <si>
    <t>Constitución del Ayuntamiento de Llodio.Santi Abascal y su padre. Ideológias aparte.</t>
  </si>
  <si>
    <t>Lola</t>
  </si>
  <si>
    <t>Pues condenar lo que os de la gana. @Santi_ABASCAL lo único que ha hecho, es reservarse el derecho de admisión. Puede que haya cometido un error, quizás, no lo sé. Pero gente amiga de terroristas, gente q pone a políticos presos cómo mártires, secta pura, etc.. no tiene cabida RT @aprensamadrid: La Asociación de la Prensa de Madrid condena el veto de Vox a @laSextaTV y @ctxt_es</t>
  </si>
  <si>
    <t>https://twitter.com/aprensamadrid/status/1069911581222465543
https://bit.ly/2QsMqaT</t>
  </si>
  <si>
    <t>En mitad de la noche, cuando los ángeles gritan, no quiero vivir una aventura q me creo y es mentira. Es hora de hacer o morir........ Do Or Die-30STM</t>
  </si>
  <si>
    <t>El Sebi</t>
  </si>
  <si>
    <t>En la junta están destruyendo documentos como locos, que alguien pare esto de una vez!!!!! @Santi_ABASCAL</t>
  </si>
  <si>
    <t>https://pbs.twimg.com/media/DtpbimBWkAApERE.jpg</t>
  </si>
  <si>
    <t>No te importa</t>
  </si>
  <si>
    <t>Mi locura es permanente, no tiene cura. Si te molesta lo que escribo apelo a mi libertad de expresión.</t>
  </si>
  <si>
    <t>La Dama Vader</t>
  </si>
  <si>
    <t>#AbascalAR cuando mi embarazo sea de vuestra incumbencia entonces podréis decidir si puedo abortar o no. Pero como eso no va a pasar nunca, dejad de decir memeces y tratar de imponer vuestras absurdas leyes. Gracias caris @vox_es @Santi_ABASCAL</t>
  </si>
  <si>
    <t>De Barcelona o por ahí</t>
  </si>
  <si>
    <t>Catalana, bisexual y feminista... ATRÁS SATÁN</t>
  </si>
  <si>
    <t>Francisco Muñumel</t>
  </si>
  <si>
    <t>Habréis aprendido hoy, con @Santi_ABASCAL lo que es defender a España. #AbascalAR</t>
  </si>
  <si>
    <t>Segovia-Madrid</t>
  </si>
  <si>
    <t>Fotógrafo, Caballero Legionario Paracaidista y Peregrino eterno del Camino de Santiago</t>
  </si>
  <si>
    <t>JESS DALY I * V O X♡ SACERDOTE LUTERANO/FILÓSOFO +</t>
  </si>
  <si>
    <t>#KKK y ls güarros subversivos Q' malos son ls blancos nkpuchados amigos d #Trump Y #SANTI ABASCAL,para ls social comunistas,sparatistas tc..Y ahora lista d Santos:Mao,Stalin,PolPot,Fidl,MADURO,KRRILLO,ETA,FRAP,Ortga..Rsultado dl partido=Stos Santos:Cintos d Mill d Murtos- KKK:?</t>
  </si>
  <si>
    <t>https://pbs.twimg.com/media/DtpZjhKX4AIFfdw.jpg</t>
  </si>
  <si>
    <t>Irlanda Norte,Kuwait,Spain,etc</t>
  </si>
  <si>
    <t>MIS OTROS 6 PERFILES-CUENTAS EN TWITTER: @DalyMayora1/@JesusDaly2/@JesusDaly3/@von_daly/@MayorVon/@YntriagoVon//☆IS'T THE PRINCIPAL ACCOUNT,FOLLOW ME FOLLOW YOU</t>
  </si>
  <si>
    <t>https://www.JessvonDaly.blogspot.com</t>
  </si>
  <si>
    <t>Cecae ن</t>
  </si>
  <si>
    <t>Para esta gente son "imposible de aceptar" tanto las sentencias de los tribunales como los resultados de las elecciones... Pero ya sabéis, los fascistas, anticonstitucionales y antidemocráticos son VOX y @Santi_ABASCAL RT @Irene_Montero_: La justicia se reafirma en una sentencia machista, imposible de aceptar para la España feminista que estamos construyendo. Decimos sencillamente basta. No es abuso, es violación. Volveremos a llenar las calles para que ninguna institución olvide que solo sí es sí. #LaManada</t>
  </si>
  <si>
    <t>https://twitter.com/Irene_Montero_/status/1070229097744424960</t>
  </si>
  <si>
    <t>Paleoliberal. Del Atleti y cholista por la gracia de Dios.</t>
  </si>
  <si>
    <t>Francisco Cohortado</t>
  </si>
  <si>
    <t>Ojalá alguien que te mire como Pablo Casado mira el culito rojigualdo de Santi Abascal 🇪🇸😍🥰🇪🇸</t>
  </si>
  <si>
    <t>https://pbs.twimg.com/media/DtpYh4MWoAI8ToK.jpg</t>
  </si>
  <si>
    <t>Rojo, laicista, republicano, feminista y antifascista de mente abierta. Defensor de la igualdad, de la justicia social, de la cultura y de lo público.</t>
  </si>
  <si>
    <t>BecarioENFURECIDO</t>
  </si>
  <si>
    <t>Enhorabuena a @Santi_ABASCAL por su intervención en el programa de AR.</t>
  </si>
  <si>
    <t>Tercio Viejo #VotaVOX 🇪🇸</t>
  </si>
  <si>
    <t>Brillante hoy @Santi_ABASCAL en el @elprogramadear exponiendo sus propuestas de manera clara y directa, ademas de quitarse todos los estigmas que la izquierda mediática les estaba atribuyendo. Felicidades a @vox_es , os vote en las Andaluzas y os votaré de nuevo. #AbascalAR</t>
  </si>
  <si>
    <t>Universitario harto de progres y podemitas. Viva España! 🇪🇸</t>
  </si>
  <si>
    <t>JaimeWar-Art</t>
  </si>
  <si>
    <t>Mi visión, espero equivocarme @Pablo_Iglesias_ y @Santi_ABASCAL</t>
  </si>
  <si>
    <t>https://pbs.twimg.com/media/DtpXyWhWoAAJpbg.jpg</t>
  </si>
  <si>
    <t>Dibujante con lapiz hiperrealista, cántabro hasta morir</t>
  </si>
  <si>
    <t>https://www.instagram.com/jaimewarart/?hl=es</t>
  </si>
  <si>
    <t>Luis F. de Santos</t>
  </si>
  <si>
    <t>Es curioso que @Santi_ABASCAL, que fue diputado del PP en el parlamento vasco, director de la Agencia de Protección de datos de la Comunidad de Madrid y director de una fundación subvencionada por esta comunidad, ahora desde @vox_es quiera acabar con las comunidades autónomas</t>
  </si>
  <si>
    <t>Empecé a juntar palabras y salió una novela, Era un volcán, por si gustan. Máster Oficial en Estudios sobre Terrorismo.</t>
  </si>
  <si>
    <t>https://escaparateliterario.com/luisdesantos/</t>
  </si>
  <si>
    <t>Milagros Sanz Delgado</t>
  </si>
  <si>
    <t>Lo que decía Santi Abascal justo antes de dejar el PP y cuando ni planeaba VOX․..  vía @Periodistadigit</t>
  </si>
  <si>
    <t>http://www.periodistadigital.tv/lo-que-decia-santi-abascal-justo-antes-de-dejar-el-pp-y-cuando-ni-planeaba-vox_436ba39f4.html</t>
  </si>
  <si>
    <t>LAS ROZAS DE MADRID (ESPAÑA)</t>
  </si>
  <si>
    <t>Naci en Madrid en el Barrio de la BOMBI Soy SOCIALISTA pero no, del PSOE después de 30 años ¡¡ NO MAS MENTIRAS!!</t>
  </si>
  <si>
    <t>🎥 Santiago Abascal [@Santi_ABASCAL] en El Programa de AR: 'Somos un partido de extrema necesidad' #AbascalAR @vox_es</t>
  </si>
  <si>
    <t>La televisión vasca @euskaltelebista intenta golpear a @vox_es @Santi_ABASCAL . Qué pena que nunca señale a los asesinos que le obligaron a vivir con escolta por riesgo de muerte, esos mismos ETARRAS que blanquea con documentales tendenciosos y falsos</t>
  </si>
  <si>
    <t>El programa de Ana Rosa</t>
  </si>
  <si>
    <t>.@Santi_ABASCAL: "Pablo Iglesias es responsable de cualquier agresión contra VOX" #AbascalAR</t>
  </si>
  <si>
    <t>http://bit.ly/2APzhi8</t>
  </si>
  <si>
    <t>Perfil oficial del programa de @telecincoes. Presentado por Ana Rosa Quintana | http://www.facebook.com/elprogramadear</t>
  </si>
  <si>
    <t>http://www.telecinco.es/elprogramadeanarosa</t>
  </si>
  <si>
    <t>Bender El Que Ofende</t>
  </si>
  <si>
    <t>Santi Abascal es de los que pegaría un tiro a quien tocara a sus hijas, pero defiende a los de la Manada porque han tocado a las hijas de otro.</t>
  </si>
  <si>
    <t>Besa mi brillante culo metálico!</t>
  </si>
  <si>
    <t>CARL JOHNSON</t>
  </si>
  <si>
    <t>Aquí tenemos a la pacífica izquierda de este país. @hermanntertsch @Santi_ABASCAL @monasterioR @CasoAislado_Es @vox_es RT @aliasamparo: @IrantzuVarela Chicas, tenemos un puente precioso para pasarlo en la calle montando disturbios, ¿vamos a desaprovecharlo?</t>
  </si>
  <si>
    <t>https://twitter.com/aliasamparo/status/1070260155177160706</t>
  </si>
  <si>
    <t>UDE 🇪🇸</t>
  </si>
  <si>
    <t>Sobre una parte de la entrevista de @anarosaq a @Santi_ABASCAL (presidente de @vox_es), en #AbascalAR, en la que refieren a la Ley de Violencia de Género. Sería bueno que le echaras un vistazo antes de decir sandeces y mentiras por televisión, querida Ana. RT @Esp_UDE: Querida @anarosaq, te tengo que poner un tweet ya que últimamente me he convertido en el justiciero anti-analfabetismo. Cuando dices que hay 42 mujeres muertas y ningún hombre, me gustaría que buscaras datos del gobierno sobre las muertes de varones.</t>
  </si>
  <si>
    <t>https://twitter.com/Esp_UDE/status/1070261892663439362
https://www.telecinco.es/elprogramadeanarosa/santiago-abascal-ley-violencia-genero-entrevista-vox_2_2670180016.html</t>
  </si>
  <si>
    <t>Plataforma social, usa tu razón.</t>
  </si>
  <si>
    <t>http://unionistasdemocrat.wix.com/udesp</t>
  </si>
  <si>
    <t>El lado más personal de @Santi_ABASCAL: "Me gusta fotografiar aves y la montaña"</t>
  </si>
  <si>
    <t>http://bit.ly/2AQ4AcB</t>
  </si>
  <si>
    <t>https://pbs.twimg.com/media/DtpVszwWsAAB-Th.jpg</t>
  </si>
  <si>
    <t>🔵🔵🔵 Primera entrevista a Santiago Abascal (@Santi_ABASCAL) tras las elecciones andaluzas: «Exigiremos el cierre de Canal Sur» 👏👏👏</t>
  </si>
  <si>
    <t>https://okdiario.com/espana/2018/12/04/santiago-abascal-exigiremos-cierre-canal-sur-3423832#.XAablyAAW-Y.twitter</t>
  </si>
  <si>
    <t>#Izquierda, piedra, golpe, violencia, desorden....Me pregunto si la @RAEinforma, como notaria de la realidad lingüística, podría plasmar en el #DRAE la frecuente asociación entre el primer término y el resto... @voxnoticias_es @Santi_ABASCAL @vox_es RT @carloscuestaEM: Manifestación en Granada contra VOX: a pedradas y sembrando el miedo de los vecinos... ¿Y estos animales dicen que Vox da miedo? Dan miedo ellos, radicales contrarios a España y la Constitución, defensores de un comunismo que ha matado a cien millones</t>
  </si>
  <si>
    <t>https://twitter.com/carloscuestaEM/status/1069976459203223552
https://okdiario.com/espana/andalucia/2018/12/04/pedradas-miedo-vecinos-manifestacion-contra-vox-granada-3425332#.XAab707RYAw.twitter</t>
  </si>
  <si>
    <t>📺 @Santi_ABASCAL en @elprogramadear 👉🏻 "Albert Rivera es como un toro manso, no sabes por dónde va a salir. Cuando alguien vota a Ciudadanos, uno no sabe si va a entregar el voto a la derecha o a la izquierda" #AbascalAR</t>
  </si>
  <si>
    <t>Savoy</t>
  </si>
  <si>
    <t>Contra la inmigración ilegal... Pelayo Abascal 😎 @Santi_ABASCAL @vox_es</t>
  </si>
  <si>
    <t>https://pbs.twimg.com/media/DtpUstUWwAAj8AD.jpg</t>
  </si>
  <si>
    <t>Gijón (Asturias)</t>
  </si>
  <si>
    <t>El Sacapuntas</t>
  </si>
  <si>
    <t>Lo digo en serio. ¿Todo el que dice que @vox_es es fascista se ha leído su programa o ha visto algún mitin de @Santi_ABASCAL? Creo que lo que dice tiene mucho sentido. Todos hemos pensado lo mismo en alguna conversación con la gente que conoces.</t>
  </si>
  <si>
    <t>Opinión, análisis, libertad de expresión. Observar, comentar el postureo hipócrita de innumerables personajes de nuestra sociedad. ¡Mucho por afilar!</t>
  </si>
  <si>
    <t>http://sacapuntass.tumblr.com/</t>
  </si>
  <si>
    <t>Macías</t>
  </si>
  <si>
    <t>Creo que @Santi_ABASCAL ha dado una lección de sensatez, claridad, coherencia y ha transmitido fielmente el pensamiento de muchos españoles. #AbascalAR #FelizMiercoles</t>
  </si>
  <si>
    <t>«Los ganadores nunca se rinden y los que se rinden nunca ganan»</t>
  </si>
  <si>
    <t>#AbascalAR Que bien suena la voz de los valientes. @Santi_ABASCAL</t>
  </si>
  <si>
    <t>La verdad adelgaza y no quiebra, y siempre anda sobre la mentira como el aceite sobre el agua. Miguel de Cervantes.</t>
  </si>
  <si>
    <t>ETB golpea a @vox_es con El Yunque, Irán y las "tarjetas green" de Santi Abascal &gt;&amp;gt; Pero del caso De Miguel y del caso Kote Cabezudo NI MU. Claro que en estos casos está PRESUNTAMENTE (hay que decir así) implicadillo el @eajpnv PNV</t>
  </si>
  <si>
    <t>https://www.moncloa.com/etb-vox-yunque-iran-abascal/#.XAekTNDV_NE.twitter</t>
  </si>
  <si>
    <t>.@Santi_ABASCAL : "Albert Rivera es como un toro manso, no sabes por dónde va a salir" @vox_es #AbascalAR</t>
  </si>
  <si>
    <t>http://bit.ly/2PmHWOi</t>
  </si>
  <si>
    <t>https://pbs.twimg.com/media/DtpTw4EW0AEfLE7.jpg</t>
  </si>
  <si>
    <t>Rocio Monasterio</t>
  </si>
  <si>
    <t>Es fantástico escuchar a Arcadi Espada que presume de liberal por los foros madrileños decir a @Santi_ABASCAL como tiene que definirse, fabuloso! 😂😂😂 #AbascalAR #Libertad</t>
  </si>
  <si>
    <t>Arquitecto y empresaria, constructora de ideas y realidades. Madre de cuatro hijos. Ilusionada con VOX y con mejorar España.</t>
  </si>
  <si>
    <t>Francisco A. R. D.</t>
  </si>
  <si>
    <t>#AbascalAR Te admiro @Santi_ABASCAL por decir lo que muchos pensamos. Gracias por darnos esperanza. Un discurso sensato y valiente. BRAVO!!! #VoxAvanza @vox</t>
  </si>
  <si>
    <t>🇪🇸 "Aunque un simple paño fuera, no la rompe ni un cañón, ni mil cañones que hubiera, solo rompe a la bandera, el puñal de la traición"</t>
  </si>
  <si>
    <t>Marta Trufowsky</t>
  </si>
  <si>
    <t>Y me pregunto yo, ¿quién eres tú @Santi_ABASCAL para decidir que no nos podemos casar con las personas que amamos porque son de nuestro mismo sexo? RT @elprogramadear: .@Santi_ABASCAL : "El matrimonio es la unión entre un hombre y una mujer" @vox_es #AbascalAR</t>
  </si>
  <si>
    <t xml:space="preserve">Zaragoza </t>
  </si>
  <si>
    <t>Su sonrisa infinita, el vino blanco, la cerveza fría, el sol de invierno y una cámara de fotos en las manos me hacen (muy) feliz. Vivir es viajar. Let it be.</t>
  </si>
  <si>
    <t>http://www.instagram.com/martamentazione</t>
  </si>
  <si>
    <t>.@Santi_ABASCAL : "Queremos una Europa en la que españa tenga mayor soberanía" @vox_es #AbascalAR</t>
  </si>
  <si>
    <t>http://bit.ly/2Pl0G0K</t>
  </si>
  <si>
    <t>https://pbs.twimg.com/media/DtpS9EQWkAA5GSZ.jpg</t>
  </si>
  <si>
    <t>EN Asturias #foroasturias tinen miedo de perder los votos que ganaremos. noticia de "lanuevaespaña @vox_es @vox_asturias @aldena30 @jandcalderon985 @ElAguijon_ @voxnoticias_es @RIVAS_Llanera @monasterioR @ruben_olmeda @Alternativa_VOX @VOXgijon @Santi_ABASCAL @VoxSalamanca</t>
  </si>
  <si>
    <t>https://pbs.twimg.com/media/DtpRlCFXcAAOfji.jpg</t>
  </si>
  <si>
    <t>avenida de la luz</t>
  </si>
  <si>
    <t>En este video podeis ver a @Santi_ABASCAL junto a su difunto padre (de amarillo), plantando cara a los HOMBRES DE PAZ. Jugándose la vida desde bien joven por la libertad de todos los españoles, incluso los que ahora le llaman facha y extrema derecha. @vox</t>
  </si>
  <si>
    <t>https://www.youtube.com/watch?v=S8_g6JS2z24&amp;feature=youtu.be</t>
  </si>
  <si>
    <t>Tabarnia. España</t>
  </si>
  <si>
    <t>Rocío G. D.</t>
  </si>
  <si>
    <t>Y yo quiero una ley que proteja a los hijos de las mujeres asesinadas por sus maridos. Pero sería mejor pedir una ley real que proteja a las mujeres de sus maltratadores para que éstas no acaben siendo asesinadas y que unos hijos acaben huérfanos de madre. @Santi_ABASCAL RT @FormulaTV: Santiago Abascal en #AbascalAR: 'Quiero una ley que proteja a mis hijos de denuncias falsas de desaprensivas'</t>
  </si>
  <si>
    <t>https://twitter.com/FormulaTV/status/1070253990930190336
https://frml.tv/86696</t>
  </si>
  <si>
    <t>https://pbs.twimg.com/media/DtpOVSbWsAAVVhz.jpg</t>
  </si>
  <si>
    <t>35 años buscando la libertad, la fuerza y la paz</t>
  </si>
  <si>
    <t>http://www.instagram.com/roguedo</t>
  </si>
  <si>
    <t>#AbascalAR ¡Menudo shock! Santi Abascal y Ana Rosa Quintana en Telecinco en 2013...</t>
  </si>
  <si>
    <t>Vecino de Orden</t>
  </si>
  <si>
    <t>Suerte tienen de que un ex Nuevas Generaciones como Santi Abascal sea el peligroso líder ultra español... Si hubiera salido de alguna sección de asalto de Fuerza Joven o de Bases Autónomas ya no sé cómo nos acojonarían.</t>
  </si>
  <si>
    <t>Les Corts, les Espanyes</t>
  </si>
  <si>
    <t>De derechas para que no nos quiten misa ni cuartos/Ni buenismo ni malismo/Contra chusmización de la política/Antisectarios/ProVerdad/Fueros/Virtud en libertad</t>
  </si>
  <si>
    <t>Jorge Brugos</t>
  </si>
  <si>
    <t>Preocupado, alarmado, y triste, de ver cómo algunos individuos se indignan al ver a @Santi_ABASCAL en televisión. A mi tampoco me gusta Vox, pero estamos en España, un Estado democrático de Derecho, no en Venezuela. #AbascalAR</t>
  </si>
  <si>
    <t>Secretario de Comunicación de @CsAlicante_C. Derecho en la UA. Jefe de Opinión en @thejournalist_e y redactor en @AlicantePress</t>
  </si>
  <si>
    <t>.@Santi_ABASCAL : "El matrimonio es la unión entre un hombre y una mujer" @vox_es #AbascalAR</t>
  </si>
  <si>
    <t>Preocupado, alarmado, y triste, de ver cómo algunos individuos se indignan al ver a Santiago @Santi_ABASCAL en televisión. A mi tampoco me gusta Vox, pero estamos en Venezuela, un Estado democrático de Derecho, no en Venezuela. #AbascalAR</t>
  </si>
  <si>
    <t>¿Como vamos a #FrenarElFascismo si @anarosaq entrevista a @Santi_ABASCAL @vox_es en @elprogramadear ?💩💩💩💩 #AbascalAR</t>
  </si>
  <si>
    <t>https://pbs.twimg.com/media/DtpRsLOWoAAt964.jpg</t>
  </si>
  <si>
    <t>Reseña de la entrevista a @Santi_ABASCAL por parte del @elprogramadear sobre la irrupción de @vox_es en el Parlamento Andaluz:</t>
  </si>
  <si>
    <t>https://pbs.twimg.com/media/DtpReliXQAAc3RH.jpg</t>
  </si>
  <si>
    <t>Edi Pombo</t>
  </si>
  <si>
    <t>Cualquiera diría, viendo la cara del racista, machista y homófobo @Santi_ABASCAL, que en vez de hacerle una entrevista, la pbrecilla @anarosaq le estaba haciendo una felación. (Tal vez se entienda al recordar que compartió colchón con el miserable Alfonso Rojo)</t>
  </si>
  <si>
    <t>"Son españoles los que no pueden ser otra cosa" Antonio Cánovas del Castillo a Manuel Alonso Martínez. 1.876</t>
  </si>
  <si>
    <t>Más comentados ahora en Derecha/Centro Dcha.: ➀ @Santi_ABASCAL ↑ ➁ @josepramonbosch ↑ ➂ @ahorapodemos ↓ ➃ @sanchezcastejon ↓ ➄ @vox_es ↑ ➅ @juanchoex ↓ ➆ @PPopular ↑ ➇ @Pablo_Iglesias_ ↓ ➈ @ldpsincomplejos ↑↑</t>
  </si>
  <si>
    <t>Hoy en @elprogramadear está la extrema derecha Ñ🇪🇸 @Santi_ABASCAL @vox_es entrevistado x @anarosaq la Ppatriota con una SICAV xra no pagar impuestos en Ñ🇪🇸😠😠😠😠 #AbascalAR</t>
  </si>
  <si>
    <t>https://pbs.twimg.com/media/DtpQ6e4XQAA0oX8.jpg</t>
  </si>
  <si>
    <t>Más influyentes ahora en Derecha/Centro Dcha.: ➀ @Santi_ABASCAL ↑ ➁ @josepramonbosch ↑ ➂ @juanchoex ↓ ➃ @Alvisepf ↑ ➄ @ldpsincomplejos ↑↑ ➅ @JosPastr ↓ ➆ @vox_es ↑ ➇ @Miotroyo2parte ↓ ➈ @ivanedlm ↓ ➉ @javiernegre10 ↑</t>
  </si>
  <si>
    <t>Josep L. Cardo</t>
  </si>
  <si>
    <t>A @vox_es y a @Santi_ABASCAL solo les falta incluir el derecho de pernada en su programa para ser consecuentes con su ideología retrógrada y asquerosa. #AbascalAR</t>
  </si>
  <si>
    <t>Badalona</t>
  </si>
  <si>
    <t>Guionista y fotógrafo. Versión 26.5 de mi mismo.</t>
  </si>
  <si>
    <t>http://joseplcardo.wix.com/joseplcardophoto</t>
  </si>
  <si>
    <t>Gallifantas 🇪🇸</t>
  </si>
  <si>
    <t>Deberían entrevistar más veces a @Santi_ABASCAL #AbascalAR</t>
  </si>
  <si>
    <t>en el mundo</t>
  </si>
  <si>
    <t>En ocasiones veo La_zis y gañanes Lo mismo voto a VOX. Cada día más claro.</t>
  </si>
  <si>
    <t>La encuesta publicada por @electo_mania da 29 escaños a @vox_es. El éxito en las elecciones andaluzas catapulta al partido de @Santi_ABASCAL a nivel nacional.</t>
  </si>
  <si>
    <t>https://casoaislado.com/las-elecciones-andaluzas-catapultan-vox-nivel-nacional-lograria-casi-30-escanos-plantaria-cara-al-resto-partidos/</t>
  </si>
  <si>
    <t>La "línea rojigualda" de @Santi_ABASCAL en Andalucía: "Hay que suprimir el impuesto de sucesiones" @vox_es #AbascalAR</t>
  </si>
  <si>
    <t>https://pbs.twimg.com/media/DtpPiLgWwAE145i.jpg</t>
  </si>
  <si>
    <t>LIBERTAD!!!Vzla</t>
  </si>
  <si>
    <t>Su respuesta es reflejo de la perversión de sus mente y alma. Comunista,CHAVISTA asesor de genocidas. Vasayo dl NARCOREGIMEN d Vzla @Santi_ABASCAL @vox_es @ahorapodemos @pnique @ESdiario_com @okdiario @abc_es RT @ESdiario_com: Iglesias se ríe de Abascal: "También me hará responsable de sus hemorroides" - ESdiario.</t>
  </si>
  <si>
    <t>https://twitter.com/ESdiario_com/status/1070191134037688320
https://www.esdiario.com/390036439/Iglesias-se-rie-de-Abascal-Tambien-me-echara-la-culpa-de-sus-hemorroides.html</t>
  </si>
  <si>
    <t>Ama de casa, rebelde,con grandes deseos de ver a mi pais unido y con grandes proyectos.AMO A MI PAÍS Y AL TUYO! #SoyVenezuela</t>
  </si>
  <si>
    <t>JOSE GOSALBEZ PAYA</t>
  </si>
  <si>
    <t>Os dejo una reversible noticia. Es absolutamente indecente. @vox_es @VOX_Valencia @JoseMa_Llanos @Santi_ABASCAL</t>
  </si>
  <si>
    <t>https://www.elmundo.es/pais-vasco/2018/12/05/5c06ee5f21efa089208b4777.html</t>
  </si>
  <si>
    <t>ABOGADO. VICESECRETARIO JURÍDICO PROVINCIAL DE VOX VALENCIA</t>
  </si>
  <si>
    <t>eduardo osborne</t>
  </si>
  <si>
    <t>Menos fachas  vía @diariosevilla ¿400.000 fascistas en #Andalucía? Muchos me parecen... Mi artículo hoy sobre @vox_es @Santi_ABASCAL #Sevillahoy</t>
  </si>
  <si>
    <t>https://www.diariodesevilla.es/_4de23146</t>
  </si>
  <si>
    <t>Jose Antonio Paez</t>
  </si>
  <si>
    <t>Ser rico es malo, así decía Chavez @Santi_ABASCAL</t>
  </si>
  <si>
    <t>https://pbs.twimg.com/media/DtpOqqQW0AATpa8.jpg</t>
  </si>
  <si>
    <t>El mundo pierde balance cuando un mal no se reivindica, los cielos apartan con vergüenza la vista</t>
  </si>
  <si>
    <t>Hadasita75 ن</t>
  </si>
  <si>
    <t>#AbascalAR Ya me informaré después sobre qué ha dicho @Santi_ABASCAL. Es que no quiero darle ni medio segundo de audiencia a @telecincoes. ¡Me da tanto asquito!</t>
  </si>
  <si>
    <t>pic.twitter.com/4Wo5ITsFwL</t>
  </si>
  <si>
    <t>Teóloga, maestra y ahora opositora; amante de la música, mi perra y las buenas series.</t>
  </si>
  <si>
    <t>.@Santi_ABASCAL : "El aborto no es un derecho, estamos totalmente en contra" @vox_es #AbascalAR</t>
  </si>
  <si>
    <t>http://bit.ly/2rlQI5J</t>
  </si>
  <si>
    <t>https://pbs.twimg.com/media/DtpNO7iW4AAc9AM.jpg</t>
  </si>
  <si>
    <t>Abascal @Santi_ABASCAL "En @vox_es pensamos que los hombres y mujeres somos iguales» «¿No se puede unir el dato inmigración y violencia hacia las mujeres, y si se puede unir el dato violencia y masculinidad" #AbascalAR</t>
  </si>
  <si>
    <t>D. Walsh 🍭</t>
  </si>
  <si>
    <t>A las 8 Ana Rosa invita a Santi Abascal, a las 10 le toca al abogado misógino de La Manada, seguramente a las 11 vendrá la señora más franquista de España y a las 11 y media: La hija de un coronel Nazi!! Viva la libertad de expresión a la española!!!</t>
  </si>
  <si>
    <t>San Cristóbal de la Laguna</t>
  </si>
  <si>
    <t>De izquierdas y feminista - Del Barça y de la buena música!</t>
  </si>
  <si>
    <t>Pero esto qué es @Santi_ABASCAL no puede ser no puede ser!!! El líder carismático el salvador de España que decepción Santi no me lo esperaba de ti ARRIBA ESPAÑA COÑO!!!!</t>
  </si>
  <si>
    <t>¿No iba @anarosaq a entrevistar hoy a Santiago Abascal?. Pues como se pongan muy tontos en Telecinco Santi Abascal les veta, y con toda la razón del mundo. RT @hermanntertsch: Anda que no se han esforzado en Telecinco por hacer unas presentaciones muy impresentables de los nuevos diputados andaluces de VOX. Pero nadie esperaría otra cosa.</t>
  </si>
  <si>
    <t>https://twitter.com/hermanntertsch/status/1070246713473032192</t>
  </si>
  <si>
    <t>DESMONTANDO LAS MENTIRAS QUE HAN DICHO SOBRE @vox_es EN LA CAMPAÑA ANDALUZA EN ESTE VÍDEO!! @Santi_ABASCAL @monasterioR #FelizMiercoles #AbascalAR</t>
  </si>
  <si>
    <t>https://www.youtube.com/watch?v=48-1luANI7g&amp;t=28s</t>
  </si>
  <si>
    <t>Susanita.... @Santi_ABASCAL ¡JAJAJA! RT @CristinaSegui_: Jajajajaja</t>
  </si>
  <si>
    <t>https://twitter.com/CristinaSegui_/status/1070046424274997248</t>
  </si>
  <si>
    <t>pic.twitter.com/iyKjwNpU0e</t>
  </si>
  <si>
    <t>REVOL🇪🇸</t>
  </si>
  <si>
    <t>.@Santi_ABASCAL en 'AR' en 2013: "Quiero irme del PP, no estoy de acuerdo con Rajoy, sí con Aznar" @vox_es #AbascalAR</t>
  </si>
  <si>
    <t>Una voz diferente.</t>
  </si>
  <si>
    <t>http://Instagram.com/revol_es</t>
  </si>
  <si>
    <t>La entrevistadora @anarosaq es una panfila, que no ha estado a la altura de la entrevista pero @Santi_ABASCAL ha sido un gusto oirle hablar, por fin sube el listón a la esfera politica 👌🏻👌🏻👌🏻 RT @elprogramadear: ENTREVISTA SANTIAGO ABASCAL Primera entrevista en televisión del líder de @vox_es tras las elecciones andaluzas. #AbascalAR</t>
  </si>
  <si>
    <t>https://twitter.com/elprogramadear/status/1070231423053950976</t>
  </si>
  <si>
    <t>Mencía13</t>
  </si>
  <si>
    <t>Hoy @Santi_ABASCAL en @elprogramadear y en @laverdad_es, dando VOZ, mi sonría de oreja a oreja. 😁 RT @Vox_Murcia: 🔴🔴🔴📣Hoy en el diario @laverdad_es 📄entrevista a nuestro presidente @Santi_ABASCAL  👇</t>
  </si>
  <si>
    <t>https://twitter.com/Vox_Murcia/status/1070242309420314624
https://www.laverdad.es/elecciones/andaluzas/santiago-abascal-agresiones-mujeres-extranjeros-20181205204345-ntrc_amp.html?__twitter_impression=true</t>
  </si>
  <si>
    <t>Pilar 🇪🇸</t>
  </si>
  <si>
    <t>Resumen de la intervención de @Santi_ABASCAL : Coherencia. Dice cosas que se oyen a diario en cafeterías, peluquerías, centros de trabajo etc... hay una sigilosa mordaza que han instalado Iglesias y sus secuaces y nadie se atreve por miedo a que le tachen de fascista #AbascalAR</t>
  </si>
  <si>
    <t>De Madrí</t>
  </si>
  <si>
    <t>La oración telefonea a Dios, la intuición es Dios telefoneándote a ti.</t>
  </si>
  <si>
    <t>He querido ver con conciencia crítica la entrevista a @Santi_ABASCAL en @elprogramadear y es que el hombre no ha respondido con datos. Es como cuando yo hablo con un primo mío partidario de Vox, responde con excepciones cuando los datos generales que hacen norma dicen otra cosa.</t>
  </si>
  <si>
    <t>Domingo Díaz</t>
  </si>
  <si>
    <t>#AbascalAR..prefiero a @Santi_ABASCAL que a cualquier boca chanclas tipo @pnique @sanchezcasrejon o @Pablo_Iglesias_ .</t>
  </si>
  <si>
    <t>Parla, España</t>
  </si>
  <si>
    <t>Español , Liberal y Colchonero .</t>
  </si>
  <si>
    <t>https://pbs.twimg.com/media/DtpLoA-WsAIXDh9.jpg</t>
  </si>
  <si>
    <t>El señor @Santi_ABASCAL quiere cerrar Canal Sur si gobierna el pondrá el NODO y todos los días misa a las 12 desde el valle de los caídos</t>
  </si>
  <si>
    <t>KAKI</t>
  </si>
  <si>
    <t>Arcadi Espada diciendo que @Santi_ABASCAL es un acomplejado. No reírse por favor..#AbascalAR 👇</t>
  </si>
  <si>
    <t>https://pbs.twimg.com/media/DtpLSvoW0AEp2Br.jpg</t>
  </si>
  <si>
    <t>Alcalá de Henares, España</t>
  </si>
  <si>
    <t>Extiende tu mano y toca la fe... #StopCristianofobia #StopIslamizacion Madridista 100% #AhoraVOX 🇪🇸</t>
  </si>
  <si>
    <t>Pablo Vinagre Márquez</t>
  </si>
  <si>
    <t>📽 Impecable intervención de nuestro presidente @Santi_ABASCAL hablando claro del futuro de España y de Andalucía. 📣 #AbascalAR #EspañaViva #AndalucíaPorEspaña #VoxAvanza #VOXÚtil #VOXAndalucia</t>
  </si>
  <si>
    <t>https://pbs.twimg.com/media/DtpLGeOW0AAwOlz.jpg</t>
  </si>
  <si>
    <t>Afiliado de @vox_es | Enamorado de mi Patria 🇪🇸 | Ilusionado con mejorar España | Vicesecretario de juventud @Huelva_vox | #EspañaLoPrimero | #EspañaViva |</t>
  </si>
  <si>
    <t>Nono</t>
  </si>
  <si>
    <t>Grande mi presidente!!! @Santi_ABASCAL #AbascalAR</t>
  </si>
  <si>
    <t>Batman flojo</t>
  </si>
  <si>
    <t>A Santi Abascal se le autocompleta el formulario de login en la web del ku klux klan.</t>
  </si>
  <si>
    <t>Siudad Gótica</t>
  </si>
  <si>
    <t>I FEAR DYING IN HERE, WHILE MY CITY BURNS, AND THERE'S NO ONE THERE TO SAVE IT</t>
  </si>
  <si>
    <t>Aquí tienen a Santi Abascal con 24 años y dos pelotas</t>
  </si>
  <si>
    <t>https://www.instagram.com/p/BrADB7wg82w/?utm_source=ig_twitter_share&amp;igshid=13ewjdvietpdb</t>
  </si>
  <si>
    <t>Pecosa</t>
  </si>
  <si>
    <t>Que alguien me pase la foto de Santi Abascal en la calle subido a una pequeña tarima. Cuando daba mítines y poca gente se paraba para oírle.</t>
  </si>
  <si>
    <t>A menudo me hago la ofendida para parecer normal, pero en realidad me resbala casi todo.</t>
  </si>
  <si>
    <t>Niko Rosales</t>
  </si>
  <si>
    <t>“Muchos homosexuales nos votan” dice @Santi_ABASCAL . Yo creo que está hablando de esos que DAN MISA. #AbascalAR</t>
  </si>
  <si>
    <t>Barcelona - España</t>
  </si>
  <si>
    <t>Animador Público - Presentador - Showman - M. Ceremonias - Speaker ¡El primer día que visité un psicólogo,le animé y le dije ¡tienes que salir más!@jambooAgency</t>
  </si>
  <si>
    <t>http://www.nikorosales.com</t>
  </si>
  <si>
    <t>Enhorabuena por la entrevista @Santi_ABASCAL 👏🏻👏🏻👏🏻 #AbascalAR</t>
  </si>
  <si>
    <t>Manuel Alejandro</t>
  </si>
  <si>
    <t>Personas fingiendo que les importa la coherencia para criticar a @Pablo_Iglesias_ pero se cambian a VOX, porque va a quitar cargos a dedo liderados por un @Santi_ABASCAL que no ha currado en su vida más que de político asignado a dedo es el nuevo trending en la derecha</t>
  </si>
  <si>
    <t>Pursuit of happiness!</t>
  </si>
  <si>
    <t>Cuando la escriba, la publicaré</t>
  </si>
  <si>
    <t>Para los que queráis conocer mejor a @Santi_ABASCAL #AbascalAR RT @rumbopropio: ✔️ ¿Es #VOX de #EXTREMADERECHA? Escuchemos a los especialistas. Hilo. #EleccionesAndalucia #EleccionesAndalucia2018</t>
  </si>
  <si>
    <t>https://twitter.com/rumbopropio/status/1069538829856620545?s=21</t>
  </si>
  <si>
    <t>https://pbs.twimg.com/media/DtfD0veWwAEEh2t.jpg</t>
  </si>
  <si>
    <t>Y quien le ha dicho a Arcadi Espada que @Santi_ABASCAL no reconoce que es facha🤔?? Y muy facha. En @vox_es no tenemos complejos como en @CiudadanosCs, que son socialistas disfrazados. #AbascalAR</t>
  </si>
  <si>
    <t>Erika H. Castilla</t>
  </si>
  <si>
    <t>He tenido la osadía de sentarme a ver una entrevista en directo de @Santi_ABASCAL para ver de qué va él, su partido y sus propuestas y no caer en prejuicios... no tengo palabras. Agarrarse que vienen curvas, y de las feas. No siento miedo siento VERGÜENZA. #Andalucialibre?????</t>
  </si>
  <si>
    <t>#Sevilla</t>
  </si>
  <si>
    <t>Francisco Muñoz Baez</t>
  </si>
  <si>
    <t>Por cierto, me dicen que @Santi_ABASCAL lider de @vox_es ha comentado que el se opone al matrimonio gay pero no a una ''union civil'' entre personas del mismo sexo.¿Es cierto? En el programa no aparece eso...</t>
  </si>
  <si>
    <t>Alhaurin de la Torre(Málaga)</t>
  </si>
  <si>
    <t>Abogado y alhaurino.También política, series y opiniones varias.</t>
  </si>
  <si>
    <t>Raúl  🇪🇸</t>
  </si>
  <si>
    <t>#AbascalAR que grande es @Santi_ABASCAL gracias por defender a España y los españoles @vox_es 🇪🇸</t>
  </si>
  <si>
    <t>ESPAÑA, Madrid, Bernabéu, Gate 55</t>
  </si>
  <si>
    <t>Madridista Hasta la Muerte. Limpia y blanca que no empaña. VOX 🇪🇸</t>
  </si>
  <si>
    <t>homer69</t>
  </si>
  <si>
    <t>Impecable Santi Abascal.. #AbascalAR</t>
  </si>
  <si>
    <t>pic.twitter.com/eD8esgpc6c</t>
  </si>
  <si>
    <t>Granada - España</t>
  </si>
  <si>
    <t>No vivas para que tu presencia se note, si no para que tu ausencia se sienta.</t>
  </si>
  <si>
    <t>🗨 @santi_abascal en el programa de Ana Rosa Quintana: "La Ley de violencia de género hay que cambiarla porque no está siendo útil para proteger a las mujeres. Queremos una ley que proteja…</t>
  </si>
  <si>
    <t>https://www.instagram.com/p/BrACSryAvLc/?utm_source=ig_twitter_share&amp;igshid=1hthhglunnzqj</t>
  </si>
  <si>
    <t>Macarena</t>
  </si>
  <si>
    <t>Impecable la actitud de @Santi_ABASCAL en la entrevista de @anarosaq #AbascalAR</t>
  </si>
  <si>
    <t>Abogada en proyecto</t>
  </si>
  <si>
    <t>AJSM ن</t>
  </si>
  <si>
    <t>Gran entrevista de @Santi_ABASCAL en @anarosaq, ha dejado claro que todo lo que dicen de el y de VOX no es verdad. Y lamentablemente @PratSandberg haciendo demagogia no centrándose en lo que realmente ha hablado @Santi_ABASCAL .</t>
  </si>
  <si>
    <t xml:space="preserve">CÓRDOBA </t>
  </si>
  <si>
    <t>Cordobés y Español</t>
  </si>
  <si>
    <t>Gádor Joya</t>
  </si>
  <si>
    <t>#AbascalAR @vox_es @elprogramadear @Santi_ABASCAL La prueba del éxito d la entrevista es que Arcadi sólo le puede criticar q VOX no quiera etiquetas. Del resto ni mu</t>
  </si>
  <si>
    <t>Isabel Gonzalo</t>
  </si>
  <si>
    <t>Ha quedado claro @KettyGarat tú eres la derechita cobarde. Estamos hartos de políticos y periodistas cómo usted por eso nos gusta @Santi_ABASCAL</t>
  </si>
  <si>
    <t>📺 En directo | Entrevista a @Santi_ABASCAL en @elprogramadear 👉🏻 "VOX es un partido de extrema necesidad y no estamos preocupados en defendernos de los estigmas" #AbascalAR</t>
  </si>
  <si>
    <t>https://pbs.twimg.com/media/DtpIVYdXgAUmTLv.jpg</t>
  </si>
  <si>
    <t>En el @elprogramadear han querido rebuscar un planteamiento violento y radical y @Santi_ABASCAL les ha dado un bofetón democrático y de libertad</t>
  </si>
  <si>
    <t>#AbascalAR @vox_es @elprogramadear @Santi_ABASCAL Ahora dice Prat que no hay que hablar de los asesinos de las mujeres, que eso no importa. Toma ya!!</t>
  </si>
  <si>
    <t>silvia asensio</t>
  </si>
  <si>
    <t>#AbascalAR no se que me da más asco, si @Santi_ABASCAL Que parece no darse cuenta de que es un ignorante, como un niño de 10 años que dice que es del Madrid porque así se lo han repetido en casa desde que nació, o los que lo defienden o votan que son igual QUE NI PUTA IDEA!</t>
  </si>
  <si>
    <t>oviedo, Asturias</t>
  </si>
  <si>
    <t>Pues muy bien todo.</t>
  </si>
  <si>
    <t>Cristóbal</t>
  </si>
  <si>
    <t>Ha estado @Santi_ABASCAL con @anarosaq en @telecincoes y lo que no se ha atrevido a decirle, me temo que ahora que ha salido del plató, le van a echar toda la mierda posible. De momento ya han puesto un vídeo que tela. Te hacen la campaña Santi 👏</t>
  </si>
  <si>
    <t>Mi opinión aquí es totalmente personal, que por algo la cuenta la abrí yo. Director Adjunto de @planetacb. Siguiendo al @Rmbaloncesto y @Bfuenlabrada.</t>
  </si>
  <si>
    <t>https://planetacb.com</t>
  </si>
  <si>
    <t>Jesus Garcia</t>
  </si>
  <si>
    <t>K gran entrevista de Ana Rosa a @Santi_ABASCAL así debería ser el periodismos claro conciso y preguntando k es lo k ellos proponen en todos los temas yo tengo claro k quiere ser este partido político #Vox no cambiare mi ideología socialista Shapo @anarosaq</t>
  </si>
  <si>
    <t>VISIONARIO DE LAS TENDENCIAS DE LOS GRAFICOS DE VALORES DE BOLSA A MEDIO Y LARGO Y TRADERS A @CortoRabioso y valores alcista en @TradingParaGana</t>
  </si>
  <si>
    <t>http://tradingparaganar.es</t>
  </si>
  <si>
    <t>Acabo de ver la entrevista en el Programa de AnaRosa y @Santi_ABASCAL ha estado G E N I A L ha nacido un líder por la libertad, un gran líder !! Arriba VOX @vox_es 💪💪💪❤️❤️❤️❤️</t>
  </si>
  <si>
    <t>Miguel Ángel 🔻</t>
  </si>
  <si>
    <t>Santiago Abascal "la política es una GUERRA para defender tus ideas" Señor @Santi_ABASCAL la política debe ser la Democracia del pueblo y NUNCA, NUNCA una Guerra. #AbascalAR #FelizMiercoles</t>
  </si>
  <si>
    <t>Antequera, Andalucía ❤💛💜</t>
  </si>
  <si>
    <t>Luchador de las injusticias, amante de la naturaleza y los animales, apasionado de la historia y arqueología, atraído por los misterios y activista de la vida..</t>
  </si>
  <si>
    <t>https://www.youtube.com/channel/UCexeGKNKvqaADqyAWVk5vHQ</t>
  </si>
  <si>
    <t>Ana Rosa se declara ante .@Santi_ABASCAL como 'feminista' pero luego es de las que se callan cuando una mujer secuestra a sus hijos y hasta lo aprueba (feminista progre y de boquilla) Feminista es querer la igualdad de derechos no la superioridad por ser mujer. #AbascalAR</t>
  </si>
  <si>
    <t>Divergente 🇪🇸</t>
  </si>
  <si>
    <t>Ah, la discriminación positiva no vale, Ana Él no puede decir lo que cree, y ella, que sí es feminista. Pues mujeres, las que valgan ... #AbascalAR Ala, cambio de canal! @Santi_ABASCAL</t>
  </si>
  <si>
    <t>Española, Madridista y Mourinhista a muerte. EM y seguimos. Siempre seguimos, contra todo y contra todos. Progreso, no perfección. #neuroatípica.</t>
  </si>
  <si>
    <t>http://devocionmadridista.blogspot.com</t>
  </si>
  <si>
    <t>Jorge Jimenez</t>
  </si>
  <si>
    <t>Conozco a muchísimas personas que han votado a @vox_es , mi panadero, camareros , transportistas, empleadas de hogar, autónomos ,si ellos son la ultraderecha de @Santi_ABASCAL creo que la clase política que los insulta necesita una regeneración interna y moral muy profunda.</t>
  </si>
  <si>
    <t>Amante del campo y de todo lo que lo hace unico. Disfrutar de la familia y del trabajo. La discreción es una virtud sin la cual las otras dejan de serlo.</t>
  </si>
  <si>
    <t>Ruth Ugena</t>
  </si>
  <si>
    <t>Chapo .@Santi_ABASCAL por la entrevista. Todo un señor</t>
  </si>
  <si>
    <t>Pablo Coripe</t>
  </si>
  <si>
    <t>Los que hayais visto la entrevista a @Santi_ABASCAL ahora mismo espero que entendáis ya lo que es VOX pesaos.</t>
  </si>
  <si>
    <t>Coripe City</t>
  </si>
  <si>
    <t>Vero!#TeamMiriam</t>
  </si>
  <si>
    <t>#Lamanada El TS confirma la sentencia de la AP de Pamplona, 9 años por abuso sexual para los acusados. @Santi_ABASCAL indica q ellos quieren endurecer las penas por las manadas y agresores en serie.. Se va a liar con esta ST</t>
  </si>
  <si>
    <t>https://pbs.twimg.com/media/DtpGpCfW0AA0IEm.jpg</t>
  </si>
  <si>
    <t>Cotillolandia</t>
  </si>
  <si>
    <t>Comento noticias, reality y todo lo que se mueva por la red. Haré rondas de noticias varias veces al día, sígueme!</t>
  </si>
  <si>
    <t>http://descubretubebe.blogspot.com.es/</t>
  </si>
  <si>
    <t>MasBy</t>
  </si>
  <si>
    <t>Entre todos lo logramos: Un excelente artículo sobre el fenómeno d @vox_es y @Santi_ABASCAL . Vox ‘Lo logramos porque no sabíamos que era imposible’ #EleccionesAndalucía #Masby ►  vía @JVSantacreu</t>
  </si>
  <si>
    <t>http://santacreu.redsat.net/vox-lo-logramos-porque-no-sabiamos-que-era-imposible/</t>
  </si>
  <si>
    <t>Masby es un proyecto para sumar todos los grupos y ciudadanos que defiendan los tres pilares básicos de un país: Unidad de España, libertad y educación libre</t>
  </si>
  <si>
    <t>http://www.masby.net/</t>
  </si>
  <si>
    <t>Ana Belén Alonso Berbel</t>
  </si>
  <si>
    <t>#AbascalAR se me hizo muy corta la entrevista pero lo dejo todo muy claro todo para quien quiera oir. @Santi_ABASCAL de 10, tiene claramente vocación de ayudar a esta sociedad. El mismo dice que el no importa, importa España. Soy mujer y de @vox_es</t>
  </si>
  <si>
    <t>https://share.icloud.com/photos/0lv8tbXDbmLAzc1Ov5BZOqH2g#Grado</t>
  </si>
  <si>
    <t>Asturias</t>
  </si>
  <si>
    <t>Nunca te olvidaré (12/12/11) mamá. Ser inteligente siempre molesta a los mediocres, se llama envidia.</t>
  </si>
  <si>
    <t>"EL ESPAÑOL"</t>
  </si>
  <si>
    <t>Lo que está diciendo @Santi_ABASCAL es de sentido común, ni homófobo ni xenófobo, simplemente verdades como puños que nos afectan a todos y que hay que regular, creo que dice lo que muchísimos españoles piensan y nadie es capaz de decir por miedo a ser estigmatizado. #AbascalAR</t>
  </si>
  <si>
    <t>Militar, oficial del Glorioso @EjercitoTierra Dios es mi Escudo,España mi Fortaleza,mi Espada,mi Alma invicta. #EjércitodeTierra 👊💪👏😎</t>
  </si>
  <si>
    <t>María Pérez Fdez.</t>
  </si>
  <si>
    <t>#AbascalAR @Santi_ABASCAL ha llegado el día en que Vox está los medios y puede explicar realmente lo que somos</t>
  </si>
  <si>
    <t>#Madre x 3 #MemoriaContraETA #VOX Administración Central #Bilbao Mis raíces... en #ASTURIAS bien profundas. #España</t>
  </si>
  <si>
    <t>Miguel @ngel🇪🇸🐃🕔☀️</t>
  </si>
  <si>
    <t>Pues oyendo @Santi_ABASCAL en @elprogramadear q mal lo estará haciendo la izquierda, q con medidas en su programa tan "supuestamente" "impopulares" como control d inmigración y suspender autonomía d Cataluña algo así como el muro d Trump, y meten 12 escaños🤦‍♂️ vivan sus c.....s</t>
  </si>
  <si>
    <t>@vivatorodevega 🐃 @torosvalladolid Entre tarde y tarde a las cinco, a las cinco en punto. @GarciaLorcaFV @AsiEsValladolid @valladolid @Vasa_Renault</t>
  </si>
  <si>
    <t>#AbascalAR @vox_es @elprogramadear No sé qué ocurrirá con VOX y si se mantendrá así cuando empiecen a tocar poder, pero la entrevista de hoy a @Santi_ABASCAL evidencia que aún hay esperanza en la política. Gracias.</t>
  </si>
  <si>
    <t>Fran A.M.🎗</t>
  </si>
  <si>
    <t>"haces pesas"? "es que he visto algunas fotos..." "es verdad que llevas pistola"? Abascal no responde y desvia la atencion con @Pablo_Iglesias_ Risas Baño y masaje de @anarosaq a @Santi_ABASCAL Entre Franquistas anda el juego #MarcaEspaña #AbascalAR</t>
  </si>
  <si>
    <t>Terrassa,Catalunya</t>
  </si>
  <si>
    <t>Papà. Conoci la muerte pero ahora vivo un sueño junto a Vane,Gala,Xavi y Buzz. #LlibertatPresosPolitics #Dempeus #NoPassaran</t>
  </si>
  <si>
    <t>ABC Córdoba</t>
  </si>
  <si>
    <t>Santiago Abascal (@Santi_ABASCAL): «Sánchez no dura ni un minuto en La Moncloa si adelanta las elecciones»  | #Política #Entrevista</t>
  </si>
  <si>
    <t>http://ow.ly/VrvK30mRY1c</t>
  </si>
  <si>
    <t>https://pbs.twimg.com/media/DtpGUCSXQAAeAO2.jpg</t>
  </si>
  <si>
    <t>Córdoba</t>
  </si>
  <si>
    <t>📰 Diario ABC Córdoba. También en Facebook http://www.facebook.com/ABC.Cordoba e Instagram https://www.instagram.com/abccordoba</t>
  </si>
  <si>
    <t>http://abccordoba.es</t>
  </si>
  <si>
    <t>Zumi  🇪🇸</t>
  </si>
  <si>
    <t>Braviiiiisimo @Santi_Abascal, "por la unidad de España y la libertad" 👏👏👏👏 Está finalizando ya la entrevista #AbascalAR</t>
  </si>
  <si>
    <t>NaZilunya. Reino de España</t>
  </si>
  <si>
    <t>.. Si querer a España es ser facha, lo soy pero mucho ..</t>
  </si>
  <si>
    <t>ZykB</t>
  </si>
  <si>
    <t>#abascalAR Mil gracias @Santi_ABASCAL por decir lo que muchos pensamos sin ningún tipo de temor a progremitas. Mi voto está claro: #VOX</t>
  </si>
  <si>
    <t>STOP Sharia ✋ Progres NO 🎗️💩 Me llaman facha...y?</t>
  </si>
  <si>
    <t>Francisco Javier</t>
  </si>
  <si>
    <t>Después de ver la faena de @Santi_ABASCAL en #AbascalAR lo mejor es devolverlo a toriles. Madre mía. #voxcachanclas</t>
  </si>
  <si>
    <t>Cordoba-Sevilla</t>
  </si>
  <si>
    <t>Julio</t>
  </si>
  <si>
    <t>asi comenzó @Santi_ABASCAL y asi comenzó @Pablo_Iglesias_ aka ``el chepas´´ que terribles estos de extrema derecha #AbascalAR</t>
  </si>
  <si>
    <t>Un rojo me dió el carnet de facha y yo me lo puse de medalla💀rojos 💀invasores africanos💀 Madridista🏆no te quedes en visto, sígueme</t>
  </si>
  <si>
    <t>Bcaes</t>
  </si>
  <si>
    <t>Felicidades @Santi_ABASCAL ha estado muy bien 👏 en #AbascalAR</t>
  </si>
  <si>
    <t>LIBERAL MINARQUISTA / HISPANÓFILO Y EUROPEÍSTA / ARTE / HISTORIA / 🇪🇸 🇪🇺</t>
  </si>
  <si>
    <t>#AbascalAR Gracias @Santi_ABASCAL #YOVotoVOX</t>
  </si>
  <si>
    <t>NoMeJudas</t>
  </si>
  <si>
    <t>#AbascalAR Muy bien @Santi_ABASCAL . Flojito al principio, pero ha tardado poco en entrar en calor. Los principios de @vox_es han quedado diáfanos, y el que quiera votar que vote. Pero era necesaria una fuerza política que nos defendiera de la pijoprogresía buenrollista comunista</t>
  </si>
  <si>
    <t>"A la mayoría de las personas, prefiero darles la razón rápidamente antes que escucharlas" (Montesquieu)</t>
  </si>
  <si>
    <t>Ama_yatevale</t>
  </si>
  <si>
    <t>Estoy viendo la entrevista que le está haciendo @anarosaquintan1 a @Santi_ABASCAL y me encanta como se expresa y lo que dice. Es humilde, y con carisma, y además me parece super atractivo.🇪🇸</t>
  </si>
  <si>
    <t>Mientras haya gente que quiera separar mi país: Existirá mi cuenta de Twitter. 🇪🇸</t>
  </si>
  <si>
    <t>Esto pasó en 2003 en la constitución del ayuntamiento de Llodio, cuando los cachorros etarras no aceptaban el resultado de las urnas. @Santi_ABASCAL era concejal electo por el @PPopular Se hiela la sangre. #AbascalAR</t>
  </si>
  <si>
    <t>#AbascalAR @vox_es @elprogramadear @Santi_ABASCAL Mi principal ideal es la unidad de España y la libertad</t>
  </si>
  <si>
    <t>#AbascalAR @Santi_ABASCAL: "la política es una guerra para defender tus ideas y estoy aquí por pura convicción"</t>
  </si>
  <si>
    <t>Santiago Abascal: «La mayor parte de las agresiones a mujeres son obra de extranjeros y ese dato se oculta» #Málaga #CostaDelSol #Andalucía #España @vox_es @Santi_ABASCAL  vía @diariosur</t>
  </si>
  <si>
    <t>https://www.diariosur.es/elecciones/andaluzas/santiago-abascal-agresiones-mujeres-extranjeros-20181205204345-ntrc.html</t>
  </si>
  <si>
    <t>#AbascalAR @vox_es @elprogramadear @Santi_ABASCAL "No llevo escolta." Y Pablo Iglesias con la @guardiacivil en su casuplón</t>
  </si>
  <si>
    <t>La Verdad nos hará Libres🇪🇸</t>
  </si>
  <si>
    <t>Viendo y escuchando a @Santi_ABASCAL con @anarosaq y venirme a la cabeza el Cid campeador. 🇪🇸🇪🇸🇪🇸🇪🇸 #abascalAR</t>
  </si>
  <si>
    <t>Dios Creador y Padre Celestial. Seguidor de Cristo. No Religión, No manipulación, si Relación. Don de Lenguas Angélicas. Testigo del fenómeno OVNI.</t>
  </si>
  <si>
    <t>حرية</t>
  </si>
  <si>
    <t>Eres muy pesado con Pablo Iglesias tío, cambia el chip, de nada @Santi_ABASCAL</t>
  </si>
  <si>
    <t>terrorism is not a religion🕊 Amo el brilli brilli ✨💄👑 soy nieta de las brujas que no pudisteis quemar🔥 📚 tourist accommodation 📚 حرية</t>
  </si>
  <si>
    <t>La discusión televisiva de Santi Abascal por su visión sobre la violencia machista (#AbascalAR)</t>
  </si>
  <si>
    <t>SoyelAzote</t>
  </si>
  <si>
    <t>A mí cada día me parece mejor @Santi_ABASCAL un tío sensato, sin estridencias, humilde y defensor a ultranza de ESPAÑA... @vox_es es una oportunidad de hacer más España</t>
  </si>
  <si>
    <t>Detrás de ti....</t>
  </si>
  <si>
    <t>Si te pone mi LATIGAZO... eres un delincuente. Soy tu azote, soy el azote. Mis insultos son sin ánimo de ofender, al estilo de los PERROFLAUTAS PODEMISTAS</t>
  </si>
  <si>
    <t>.@Santi_ABASCAL: "Somos antipodemitas y anticomunistas". #AbascalAR Bien dicho. Hay que saber distinguirse de la basura totalitaria comunista.</t>
  </si>
  <si>
    <t>https://pbs.twimg.com/media/DtpFAGnWsAA-BPO.jpg</t>
  </si>
  <si>
    <t>Ixone Sánchez</t>
  </si>
  <si>
    <t>“España está en riesgo y, por ello, lo que más me preocupa es que la unidad de España se salvaguarde” @Santi_ABASCAL #AbascalAR</t>
  </si>
  <si>
    <t>Pamplona</t>
  </si>
  <si>
    <t>No me creo nada. Marketing &amp; Communication Manager. ⚪️💚🇪🇸</t>
  </si>
  <si>
    <t>Así era @Santi_ABASCAL hace 20 años. Entonces ya en frente de Otegi. Los que hoy lo llaman fascista también dan mucho miedo. #AbascalAR</t>
  </si>
  <si>
    <t>Casoplón de Galapagar. 🇪🇸❌🏢</t>
  </si>
  <si>
    <t>Hacéis muy bien en defender España de verdad, hay que luchar contra el comunismo y el chavismo de Podemos, Ánimo #AbascalAR #VoxExtremaNecesidad #EspañaViva #VOX @Santi_ABASCAL</t>
  </si>
  <si>
    <t>ELECCIONES GENERALES YA.</t>
  </si>
  <si>
    <t>#AbascalAR @vox_es @elprogramadear @Santi_ABASCAL Abascal: No hago pesas. Ana Rosa no termina de creérselo 😂😂</t>
  </si>
  <si>
    <t>Eres de @vox_es y no lo sabes’: WhatsApp, la herramienta 'secreta' de @Santi_ABASCAL en la campaña andaluza</t>
  </si>
  <si>
    <t>Jorge Soler 🇪🇸</t>
  </si>
  <si>
    <t>Realmente estás fatal. Pensar que nueve personas son "fascistas" por votar una opción política distinta a la tuya, eso si es fascismo del que hablas. La superioridad moral de la izquierda en estado puro no, lo siguiente. @ana_urcelay @v_arribas @Santi_ABASCAL @AntonioRNaranjo RT @JuanitoLibritos: Y esto es un fracaso de la sociedad, del sistema educativo y, sobre todo, mío: en nueve meses a su lado, su profesor de historia no fue capaz de transmitirles la importancia de la democracia y los peligros del fascismo.</t>
  </si>
  <si>
    <t>https://twitter.com/JuanitoLibritos/status/1069547964778057729</t>
  </si>
  <si>
    <t>Ceuta</t>
  </si>
  <si>
    <t>deteibols</t>
  </si>
  <si>
    <t>Desde un punto de vista comunicativo, @Santi_ABASCAL ha evolucionado mucho más que @Pablo_Iglesias_ Venía desde las catacumbas y, con una buena chaqueta, puedes hasta colocar su retrato encima del televisor. Sostenible, y todo, @isabanes Un San Luis.</t>
  </si>
  <si>
    <t>Las Tablas. Madrid.</t>
  </si>
  <si>
    <t>Activista ciclista urbano. No tengo miedo a ganar. Escribo en http://madridenbicicleta.es y Filmo http://youtube.com/c/deteibols?gv…</t>
  </si>
  <si>
    <t>Raúl</t>
  </si>
  <si>
    <t>Estoy seguro que hoy miles de españoles que escuchan x primera vez a @Santi_ABASCAL se sienten identificados con sus propuestas valientes y sensatas. #AbascalAR</t>
  </si>
  <si>
    <t>Europa</t>
  </si>
  <si>
    <t>No one like us, we don't care.</t>
  </si>
  <si>
    <t>Marian</t>
  </si>
  <si>
    <t>El pp es la "derechita cobarde "y ciudadanos el" toro manso " @Santi_ABASCAL las cosas claras 💪💪💪</t>
  </si>
  <si>
    <t>https://pbs.twimg.com/media/DtpEoLHXQAEZLYf.jpg</t>
  </si>
  <si>
    <t>❤❤❤</t>
  </si>
  <si>
    <t>Azul183</t>
  </si>
  <si>
    <t>#AbascalAR Grande @Santi_ABASCAL En la entrevista. Dando repaso a todo y a todos. Estupenda entrevista. Ana Rosa empleándose a fondo y Abascal dando la talla y con nota. Futuro presidente d España.</t>
  </si>
  <si>
    <t>Veganoeinviegno</t>
  </si>
  <si>
    <t>Sr. @Santi_ABASCAL, estoy escuchándole en @elprogramadear y me esta sorprendiendo agradablemente. Aunque discrepo con usted en una par de puntos, veo que no es usted políticamente correcto, y eso me gusta. Ha ganado usted un votante. Siga así.. 👍 @vox_es #AbascalAR</t>
  </si>
  <si>
    <t>Por mis ideas me conoceréis</t>
  </si>
  <si>
    <t>Don Arfonzo</t>
  </si>
  <si>
    <t>Yo lo llamo Santi, vosotros D. Santiago Abascal, que la educación en Andalucía no se puede perder, coño. ¡Buenos días, tiesos!</t>
  </si>
  <si>
    <t>VIVA LA PANA GORDA</t>
  </si>
  <si>
    <t>https://twitter.com/donarfonzo/timelines/732468888500211712</t>
  </si>
  <si>
    <t>Gustavo Bernal</t>
  </si>
  <si>
    <t>Encantado con las palabras de @Santi_ABASCAL #AbascalAR. Es lo que necesita España.</t>
  </si>
  <si>
    <t>La verdad es lo que es, y sigue siendo verdad aunque se piense al revés. Antonio Machado</t>
  </si>
  <si>
    <t>#AbascalAR no es la primera entrevista @Santi_ABASCAL os esta dando una gran leccion de educacion y saber estar. Somos gente de derecha asqueada de la politica que hay en España eso es @vox_es</t>
  </si>
  <si>
    <t>Marchando otra horneada de votos para @Santi_ABASCAL y #VOx</t>
  </si>
  <si>
    <t>https://www.abc.es/espana/abci-detenidos-quema-contenedores-y-agresiones-policias-y-periodistas-manifestacion-contra-cadiz-201812050022_noticia.html#ns_campaign=rrss-inducido&amp;ns_mchannel=abc-es&amp;ns_source=tw&amp;ns_linkname=noticia-foto&amp;ns_fee=0</t>
  </si>
  <si>
    <t>“El PP es la derechita cobarde, que ha gobernado acomplejada y acorralada por la izquierda durante mucho tiempo” @Santi_ABASCAL #AbascalAR</t>
  </si>
  <si>
    <t>#AbascalAR @vox_es @elprogramadear @Santi_ABASCAL Las líneas de V9X son rojigualdas. Rápido e incontestable Santiago Abascal en la entrevista</t>
  </si>
  <si>
    <t>#voxavanza #AbascalAR #VoxExtremaNecesidad #EspañaViva #VOXAndalucia menos mal que un político habla claro y pone en su sitio a los Comunistas, Chavistas, peligrosos, @Santi_ABASCAL es el único que merece la pena hoy en día.</t>
  </si>
  <si>
    <t>zaka_zurigorri</t>
  </si>
  <si>
    <t>2. La pretensión de @Santi_ABASCAL es dividir la sociedad, utilizando una variable importante, como es la inmigración. Crear odio es un instrumento que ya utilizaron otros para que el pueblo no piense en los verdaderos culpables, es decir: los políticos</t>
  </si>
  <si>
    <t>Barakaldo-Bizkaia</t>
  </si>
  <si>
    <t>Sociología en la UPV-EHU, y escribo en Farhampton mag, Árbitro de fútbol de la FVF (CAV), y Athleticzale.</t>
  </si>
  <si>
    <t>Hastiado</t>
  </si>
  <si>
    <t>¿Denunciamos al ser @Santi_ABASCAL? #AbascalAR</t>
  </si>
  <si>
    <t>California</t>
  </si>
  <si>
    <t>OJO DE LOCA NUNCA SE EQUIVOCA</t>
  </si>
  <si>
    <t>http://www.youtube.com/watch?v=Mm3ypbAbLJ8</t>
  </si>
  <si>
    <t>VOX Murcia-Provincia</t>
  </si>
  <si>
    <t>🔴🔴🔴📣Hoy en el diario @laverdad_es 📄entrevista a nuestro presidente @Santi_ABASCAL  👇</t>
  </si>
  <si>
    <t>https://www.laverdad.es/elecciones/andaluzas/santiago-abascal-agresiones-mujeres-extranjeros-20181205204345-ntrc_amp.html?__twitter_impression=true</t>
  </si>
  <si>
    <t>Murcia  https://www.voxespana.es/murcia</t>
  </si>
  <si>
    <t>Cuenta Oficial de Vox en la Provincia de Murcia. #HacerEspañaGrandeOtraVez ✉ info@murcia.voxespana.es Teléfono: 691 83 90 80</t>
  </si>
  <si>
    <t>#AbascalAR @Santi_ABASCAL : "tenemos un programa que plantea resolver los problemas reales de los españoles nada tenemos que ver con el PP"</t>
  </si>
  <si>
    <t>#AbascalAR @vox_es @elprogramadear @Santi_ABASCAL Mariano Rajoy mantuvo todo lo que hizo Zapatero</t>
  </si>
  <si>
    <t>Magnífico @Santi_ABASCAL en #AbascalAR</t>
  </si>
  <si>
    <t>Moira Reyes</t>
  </si>
  <si>
    <t>#AbascalAR Bravo @Santi_ABASCAL que gusto escucharte!!! Hablando claro!! Ya pueden tomar buen ejemplo el resto de los partidos</t>
  </si>
  <si>
    <t>Event Planner moirareyes.eventplanner@gmail.com</t>
  </si>
  <si>
    <t>“VOX responde a los problemas de 2018; problemas a los que Casado no es capaz de responder. No se lo permiten sus barones” @Santi_ABASCAL #AbascalAR</t>
  </si>
  <si>
    <t>#AbascalAR .@Santi_ABASCAL: "Pedro Sánchez no tiene escrúpulos, ha engañado a los españoles". Una verdad como un templo.</t>
  </si>
  <si>
    <t>AsdeBastos+</t>
  </si>
  <si>
    <t>Escuchando la entrevista a @Santi_ABASCAL en T5 . La verdad que su claridad de ideas y firmeza en sus convicciones me encanta. La cercanía y su forma de expresarse con naturalidad le auguran grandes éxitos. Adelante @vox_es</t>
  </si>
  <si>
    <t>Antihispanofobista, para los que estudiaron con la LOGSE : anti personas que odian España.</t>
  </si>
  <si>
    <t>Rocksana</t>
  </si>
  <si>
    <t>Aquí lo tienen... #abascalar ... creo que muchos no van a poder disfrutar del puente...Ánimo @Santi_ABASCAL, ánimo @vox_es ...parafraseando a alguien que prefiero no mencionar: "Estamos del lado correcto de la historia"!</t>
  </si>
  <si>
    <t>¿Buscas en mi perfil lo que no te atreves a preguntar?</t>
  </si>
  <si>
    <t>#abascalAR @Santi_ABASCAL ✅#vox @anarosaq Es de extrema necesidad que esta persona y su equipo tengan voz en la esfera política, por fin sube el listón intelectual y politico y hasta la propia periodista va ganando tablas en la entrevista de su comienzo de panfila</t>
  </si>
  <si>
    <t>Más comentados ahora en Derecha/Centro Dcha.: ➀ @Santi_ABASCAL ↓ ➁ @ahorapodemos ↓ ➂ @josepramonbosch ↓ ➃ @sanchezcastejon ↑ ➄ @vox_es ↓ ➅ @juanchoex ↑ ➆ @Pablo_Iglesias_ ↑ ➇ @JosPastr ↑↑ ➈ @PPopular ↓ ➉ @PSOE ↑</t>
  </si>
  <si>
    <t>Estas q te sales @Santi_ABASCAL , olé!</t>
  </si>
  <si>
    <t>Gladiator Honrado</t>
  </si>
  <si>
    <t>Bravo @Santi_ABASCAL, @anarosaq te has apuntado un tanto!!!#AbascalAR</t>
  </si>
  <si>
    <t>“La verdadera grandeza, no necesita la humillación del resto.” Amado Nervo</t>
  </si>
  <si>
    <t>Más influyentes ahora en Derecha/Centro Dcha.: ➀ @Santi_ABASCAL ↓ ➁ @josepramonbosch ↓ ➂ @juanchoex ↑ ➃ @JosPastr ↓ ➄ @Alvisepf ↓ ➅ @Miotroyo2parte ↓ ➆ @ivanedlm ↓ ➇ @vox_es ↑ ➈ @libertaddigital ↑ ➉ @Nanchinho ↓</t>
  </si>
  <si>
    <t>Los Desayunos</t>
  </si>
  <si>
    <t>.@Pablo_Iglesias_: "No hay que olvidar que @Santi_ABASCAL estuvo cobrando 80.000 euros al mes de la corrupta @EsperanzAguirre. Algunos tendrían que devolver ese dinero y explicar porque quieren suprimir las comunidades autónomas. No hay centroderecha en España" #LosDesayunos</t>
  </si>
  <si>
    <t>https://pbs.twimg.com/media/DtpC4TTUwAAp5YZ.jpg</t>
  </si>
  <si>
    <t>De lunes a viernes de 8.30 a 10.05 horas. Twitter oficial del programa. Dirigido y presentado por @xabierfortes</t>
  </si>
  <si>
    <t>http://www.rtve.es/losdesayunos</t>
  </si>
  <si>
    <t>🐑casos aislados🐑</t>
  </si>
  <si>
    <t>Joder @anarosaq lo que has envejecido en 4 años de robo de tu marido @Santi_ABASCAL @vox_es #AbascalAR</t>
  </si>
  <si>
    <t>Quitando caretas, recopilando LOS OTROS DATOS</t>
  </si>
  <si>
    <t>“Cada persona tendrá su opinión sobre la monarquía, pero tenemos claro que Felipe VI defendió un papel fundamental en la cuestión catalana mientras el gobierno español no estuvo, en absoluto, a la altura” @Santi_ABASCAL #AbascalAR</t>
  </si>
  <si>
    <t>#AbascalAR @Santi_ABASCAL: "el Rey ha prestado un gran servicio a la unidad de España".</t>
  </si>
  <si>
    <t>Denzel-Watching-town.</t>
  </si>
  <si>
    <t>Alguien está viendo la entrevista de Ana @anarosaq a su ahijado @Santi_ABASCAL ? Y este silencio de las redes 😂😂😂</t>
  </si>
  <si>
    <t>PREFIERO ser EXTREMADAMENTE POBRE antes k MISERABLEMENTE RICO. sí yo sí.✊🏿✊🏿✊🏿</t>
  </si>
  <si>
    <t>HalconNegro</t>
  </si>
  <si>
    <t>#AbascalAR " @Santi_ABASCAL : "nosotros somos antipodemos" bien... deja de llorar y sé consecuente.... #AlFascismoNoSeLeDiscute_SeLeCombate que no se te olvide cuando eches la lengua al viento... nos tendrás enfrente... siempre</t>
  </si>
  <si>
    <t>https://pbs.twimg.com/media/DtpBu1wX4AASkPd.jpg</t>
  </si>
  <si>
    <t>why so serious?</t>
  </si>
  <si>
    <t>debajo del guindo, con jimmy jazz</t>
  </si>
  <si>
    <t>Cristina adriana</t>
  </si>
  <si>
    <t>#AbascalAR @Santi_ABASCAL has mejorado con el tiempo 😍 Eres como el buen vino...</t>
  </si>
  <si>
    <t>Comunidad de Madrid</t>
  </si>
  <si>
    <t>Amante de los animales!! Aficionada a reality shows!! Mi hobby es viajar. Continuaré siendo estudiante... Madrid-Almeria 🇪🇸</t>
  </si>
  <si>
    <t>http://Instagram.com/crisnotariogala</t>
  </si>
  <si>
    <t>Muchas verdades de @Santi_ABASCAL que hacen reflexionar @vox_es #AbascalAR</t>
  </si>
  <si>
    <t>AlbertSR</t>
  </si>
  <si>
    <t>La irrupción d la extrema derecha no es +q la corriente franquista del @PPopular cuyo Presidente @Santi_ABASCAL ha estado viviendo d la política y de los chiringuitos d Aguirre ¡Toda su vida! No han venido a regenerar nada. Centralismo absolutista. Buscan crecer inoculando odio.</t>
  </si>
  <si>
    <t>Demòcrates Valencians. Liberaldemòcrates. Valencianistes.</t>
  </si>
  <si>
    <t>http://www.democratesvalencians.org</t>
  </si>
  <si>
    <t>Joder avisar qué mientras estoy perdiendo el tiempo con @Santi_ABASCAL en @anarosaq estando @Pablo_Iglesias_ en @losdesayunos de @tve_tve . No hay color entre el fantoche de @vox_es y el profesor de @ahorapodemos</t>
  </si>
  <si>
    <t>#AbascalAR .@Santi_ABASCAL: "En @vox_es queremos que se combata la inmigración ilegal, que se protejan nuestras fronteras y a nuestra Guardia Civil. Esto es sentido común".</t>
  </si>
  <si>
    <t>-SALVADOR-</t>
  </si>
  <si>
    <t>Porque a la entrevista de @Santi_ABASCAL tienen que poner una música de fondo que te pone de los nervios? música de tensión !! Vaya manipuladores. Hay que ser malas personas @anarosaq @telecincoes</t>
  </si>
  <si>
    <t>Entre Málaga y Sevilla.</t>
  </si>
  <si>
    <t>Al tanto de la actualidad. Apasionado de las noticias.Politica, música, tecnología, emprendedores. Positivo y creyente en el ser humano. ESPAÑOL sin complejos.</t>
  </si>
  <si>
    <t>Carlos Díaz-Pache</t>
  </si>
  <si>
    <t>📻 @IdiazAyuso: "Conocí a @Santi_ABASCAL hace 15 años haciendo campaña para el PP en el País Vasco. Respeto y me parece valiente montar un partido distinto si el tuyo deja de seducirte, pero es más valiente cambiarlo desde dentro como @pablocasado_" @eslamananadeFJL #DíazAyusoFJL</t>
  </si>
  <si>
    <t>https://pbs.twimg.com/media/DtpB9GxW4AYGORU.jpg</t>
  </si>
  <si>
    <t>Política, tecnología, innovación... Secretario de Comunicación del @ppmadrid. En un proyecto ilusionante.</t>
  </si>
  <si>
    <t>http://www.ppmadrid.es</t>
  </si>
  <si>
    <t>Carol VOX voto ÚTIL</t>
  </si>
  <si>
    <t>Tendremos que agradecerle a Ana Rosa, los miles de votos que hoy le ha regalado a Vox. Toda mi admiración para @Santi_ABASCAL !</t>
  </si>
  <si>
    <t>Quiromasajista 🇦🇷Argentina, anti K, anti Podemos, bloqueada por el chavista ibérico Pablo Iglesias. Amo el mar, la naturaleza, los animales y a 🇪🇸mi 2º país</t>
  </si>
  <si>
    <t>Te reto a hablar de algún tema sin nombrar a Podemos y sin decir podemitas @Santi_ABASCAL es decir, teniendo argumentos.</t>
  </si>
  <si>
    <t>.#AbascalAR @Santi_ABASCAL: "queremos una Europa que no se aleje de sus orígenes judeo-cristrianos"</t>
  </si>
  <si>
    <t>Juan E. Pflüger</t>
  </si>
  <si>
    <t>.@vox_es entrará con fuerza en el Congreso de los Diputados. Así lo demuestran las dos encuestas publicadas hoy por @elespanolcom y @electo_mania. El partido de @Santi_ABASCAL será decisivo en el futuro político de España y representará a la #EspañaViva</t>
  </si>
  <si>
    <t>https://pbs.twimg.com/media/DtpBtnxWsAAeBok.jpg</t>
  </si>
  <si>
    <t>Director de El Correo de Madrid @Correodemadrid Historiador y periodista Mi blog: LOS CRÍMENES DEL COMUNISMO.</t>
  </si>
  <si>
    <t>http://www.elcorreodemadrid.com</t>
  </si>
  <si>
    <t>David Acosta Arrés</t>
  </si>
  <si>
    <t>Escuchar la entrevista d @anarosaq en @elprogramadear a @Santi_ABASCAL Un escalofrío recorre tu alma cuando habla en contra d las políticas de igualdad, en contra dl colectivo LGTBI, en contra d los inmigrantes, en contra d las ONG's, en contra dl Estado d las Autonomías, etc...</t>
  </si>
  <si>
    <t>pic.twitter.com/bOjo68zyvt</t>
  </si>
  <si>
    <t>Granada (España)</t>
  </si>
  <si>
    <t>Politólogo, valenciano, ibense, granadino, soñador, comprometido, eterno buscador de oportunidades en un mundo donde la igualdad y solidaridad están olvidadas.</t>
  </si>
  <si>
    <t>#AbascalAR Demasiadas preguntas tiene AR q apenas deja hablar a @Santi_ABASCAL , Esta mujer es  millonaria de izquierdas da lastima.#Abascal la está dando buen repaso</t>
  </si>
  <si>
    <t>http://xn--psima-bsa.La</t>
  </si>
  <si>
    <t>Jose Perez</t>
  </si>
  <si>
    <t>El mierda de @Santi_ABASCAL dice q los inmigrantes vienen x las ayudas sociales, no como tú q llevas toda la vida viviendo de mamandurrias públicas, o q cobraba 90.000€ a través d 🐸Aguirre. #SomosLaAudiencia5D @elprogramadear @MiguelFrigenti @Nagore_Robles</t>
  </si>
  <si>
    <t>Feminista, de Izquierdas, España son su gente y su diversidad.</t>
  </si>
  <si>
    <t>René de Herblay</t>
  </si>
  <si>
    <t>Gracias a @anarosaq estoy pasando una mañana de lo más divertida. @Santi_ABASCAL le está dejando las cosas muy claras.</t>
  </si>
  <si>
    <t>Único superviviente de los legendarios Mosqueteros. General de los Jesuitas en mis ratos libres.</t>
  </si>
  <si>
    <t>Q razón tiene .@Santi_ABASCAL en #AbascalAR el Ministerio del Interior está permitiendo manifestaciones con actos violentos contra el resultado de las urnas y se están haciendo llamamientos a la agresión de los votantes y simpatizantes de .@vox_es Esto no debe ni puede permitirse</t>
  </si>
  <si>
    <t>Feminazi</t>
  </si>
  <si>
    <t>Santi Abascal se deja la barba para que no te fijes en sus dientes ¿verdad? Coooosssa más rara</t>
  </si>
  <si>
    <t>Más tonta que abundio con estudios, pero entretengo mucho. Anda, pasa que está tó pagao. PD: Sígueme, tengo tierras.</t>
  </si>
  <si>
    <t>Ángel 🎗‏</t>
  </si>
  <si>
    <t>A ver, que no lo entiendo... @vox_es dice en campaña que más trabajo. ¿Y @Santi_ABASCAL quiere dejar a unos 1.500 en la calle? Lo veo contradictorio. ¿Alguien puede explicármelo?</t>
  </si>
  <si>
    <t>https://pbs.twimg.com/media/DtpBUXvXQAAEcwM.jpg</t>
  </si>
  <si>
    <t>Politòleg que no exerceix com a tal. Català nascut a Sevilla. Indepe, sindicalista i compromès amb les bones causes.</t>
  </si>
  <si>
    <t>Thanya ♥ ☻ ♡ ☯ ❂❉ ❀</t>
  </si>
  <si>
    <t>Cada vez me gusta más @Santi_ABASCAL 👏👏👏👏👏👏👏 Bravo!!!!! #AbascalAR</t>
  </si>
  <si>
    <t>Efectivamente @Santi_ABASCAL, vuelve a querer regular un tema tan grave q sucede en nuestras costas. No habla de abandonarlos, solo de regular a los ILEGALES. Si no se regula, seguirán muriendo en el mar hombres, mujeres y niños, por Dios!! #AbascalAR</t>
  </si>
  <si>
    <t>Juan Molina pater</t>
  </si>
  <si>
    <t>Por qué el titular no es otra frase que ha dicho @Santi_ABASCAL? “Hemos de ayudar a Africa en sus patrias”.... #manipulación #telecinco</t>
  </si>
  <si>
    <t>https://pbs.twimg.com/media/DtpBJiwW4AEPfaz.jpg</t>
  </si>
  <si>
    <t>sacerdote, religioso, misionero , profe de secundaria... compañero! Intentado acercar el corazón de Dios al corazón del mundo :) Face: Juan Molina PATER</t>
  </si>
  <si>
    <t>Esas mujeres violadas en el camino a Europa.... Ahora violaran en Europa, Gran periodista #AbascalAR @Santi_ABASCAL @ElenaMoren_ @monasterioR</t>
  </si>
  <si>
    <t>Santiago @Santi_ABASCAL dice lo que la mayoría quieren decir y no se atreven. #AbascalAR</t>
  </si>
  <si>
    <t>Cristian</t>
  </si>
  <si>
    <t>Estoy viendo a @Santi_ABASCAL en #AbascalAR y está diciendo verdades una detrás de otra. Lo que no se atreven a decir los demás 🇪🇸 ❤️💛❤️💚💚❤️💛❤️</t>
  </si>
  <si>
    <t>León</t>
  </si>
  <si>
    <t>Nobody owes nobody nothing. You owe yourself. Español y leonés.</t>
  </si>
  <si>
    <t>Ojito, que el @Santi_ABASCAL habla muy guay en @elprogramadear y me da a mí que va a convencer a mucho paleto... Acordaros que Hitler era un orador de puta madre y convenció a millones... #FrenarElFascismo #FelizMiercoles #AbascalAR #Atapuerca #Españistan</t>
  </si>
  <si>
    <t>señorros</t>
  </si>
  <si>
    <t>#abascalar patetico el ataque continuo de ana rosa a santiago haciendo que se justifique continuamente, se te ven los colores señora, tiene usted que ser imparcial si quiere entrevistar a alguien, dejese el populismo y llevatelos todos a tu casa @anarosaq @vox_es @Santi_ABASCAL</t>
  </si>
  <si>
    <t>viendo por la espalda</t>
  </si>
  <si>
    <t>Alejandro Cancho</t>
  </si>
  <si>
    <t>Primera entrevista de @Santi_ABASCAL en TV tras las elecciones andaluzas. Lo hace en @elprogramadear con @anarosaq</t>
  </si>
  <si>
    <t>Trujillo, España</t>
  </si>
  <si>
    <t>Periodista 👨🏻‍💻 #Política #Lifestyle #RRSS |🎒| 🛵 |  | 🇪🇸</t>
  </si>
  <si>
    <t>http://alejandrocancho.wordpress.com</t>
  </si>
  <si>
    <t>Piñero67</t>
  </si>
  <si>
    <t>Como manipula @Programastv5 los titulares que ponen abajo respecto a los que esta diciendo @Santi_ABASCAL</t>
  </si>
  <si>
    <t>Españaa</t>
  </si>
  <si>
    <t>Tecnico deportivo Nivel I// ADE-UNEX📚📈</t>
  </si>
  <si>
    <t>SlothFratelli 🎗</t>
  </si>
  <si>
    <t>... Cuando dos imágenes se entienden mucho mejor... Cuando los agresores son españoles y mucho españoles... y alguno demás, con sueldo público. De nada @Santi_ABASCAL</t>
  </si>
  <si>
    <t>https://pbs.twimg.com/media/DtpAEkaWoAEcwGJ.jpg</t>
  </si>
  <si>
    <t>Mundo o así</t>
  </si>
  <si>
    <t>Lo que no me gusta, lo digo. Muy fan de Dellavedova y Amunike. Me quedé en la Master System II</t>
  </si>
  <si>
    <t>Ni un Masaje Tailandés da más placer k la entrevista de @anarosaq al "DEMOCRTA" de @Santi_ABASCAL es BRUTALLLLL lo tuyo Anita 🤑🤑🤑</t>
  </si>
  <si>
    <t>Amaya Acosta</t>
  </si>
  <si>
    <t>Fantástico Santi Abascal en el programa de @anarosaq desgranando las propuestas de #Vox... de sentido común!!!!</t>
  </si>
  <si>
    <t>Coordinadora VOX Alpedrete. Autónoma, madre de familia y orgullosa de ser española!!!🇪🇸</t>
  </si>
  <si>
    <t>El Lobo Negrón</t>
  </si>
  <si>
    <t>Estoy viendo al bueno de @Santi_ABASCAL en una entrevista en el programa de Ana Rosa y me estoy arrepintiendo de no tomarme un chupito cada vez que le hacen una pregunta, menciona a podemos , la hoz y el martillo o el chalet de Pablo Iglesias.</t>
  </si>
  <si>
    <t>Bastardo y Hereje.</t>
  </si>
  <si>
    <t>Pues @Santi_ABASCAL tiene su polvazo, ¿eh?</t>
  </si>
  <si>
    <t>“Hay españoles que no cuentan con ayudas sociales y ven cómo se las conceden a inmigrantes ilegales. Los españoles tenemos derecho a que las puertas de nuestro país estén protegidas. No toda África cabe en Europa” @Santi_ABASCAL #AbascalAR</t>
  </si>
  <si>
    <t>#AbascalAR Menuda entrevista a @Santi_ABASCAL Imprescindible ver y oir para luego opinar. Suscribo todo al 100%. Enhorabuena @vox_es</t>
  </si>
  <si>
    <t>Profesor Jaén</t>
  </si>
  <si>
    <t>👏💪 @Santi_ABASCAL en Telecinco "#VOX es un partido de extrema necesidad y no estamos preocupados en defendernos de los estigmas". #AbascalAR</t>
  </si>
  <si>
    <t>https://pbs.twimg.com/media/Dto7F0XW4AE9YXq.jpg</t>
  </si>
  <si>
    <t>Cuenta estrictamente personal · Fundador de @letralibre_es · También escribo en @ITrDigital y @Sevillainf</t>
  </si>
  <si>
    <t>http://www.letralibre.es</t>
  </si>
  <si>
    <t>Antonio Porro</t>
  </si>
  <si>
    <t>Verguenza,asco,y repugnancia,me produce la encerrona y entrevista sectaria que esta haciendo @anarosaq a @Santi_ABASCAL ,es miserable el juicio y machaque al que le esta sometiendo...</t>
  </si>
  <si>
    <t>Victoria</t>
  </si>
  <si>
    <t>Maravillosa @anarosaq sin dejar hablar a @Santi_ABASCAL apenas en @elprogramadear ... Premisa: No me gusta @vox_es. Hay que aprender a respetar y escuchar a los demás. No está bien que le corte cada vez que está argumentando. Conclusión: Periodismo basura.</t>
  </si>
  <si>
    <t>Oviedo</t>
  </si>
  <si>
    <t>Oviedista desde 1996. R.O.C.F.💙</t>
  </si>
  <si>
    <t>🎗 Josep Mª 🎗</t>
  </si>
  <si>
    <t>"No somos fascistas ni antifascistas, no estamos en ese debate de etiquetas... lo que sí somos es antipodemitas y anticomunistas" @Santi_ABASCAL (y sus pelotas) dixit #AbascalAR #AbascalUltraFascista</t>
  </si>
  <si>
    <t>Una buena vida es aquella inspirada por el amor y guiada por la inteligencia</t>
  </si>
  <si>
    <t>Dคvid.</t>
  </si>
  <si>
    <t>Ojito @Pablo_Iglesias_ Que @Santi_ABASCAL dice que la gente le abuchea y se ríe de el por ti y no por que sólo suelta mierda por la boca</t>
  </si>
  <si>
    <t>Pasate por 4chan y dejate esta mierda. 08:06 🎱</t>
  </si>
  <si>
    <t>Marisol Rojas</t>
  </si>
  <si>
    <t>Madre mía, @Santi_ABASCAL. Le dice a @anarosaq que no son ni antifascistas, ni fascistas, porque ellos no están en ese debate.</t>
  </si>
  <si>
    <t>Politóloga y periodista que ha comprobado que por madrugar sí amanece más temprano</t>
  </si>
  <si>
    <t>Bravísimo @Santi_Abascal 👏👏👏 ... saliendo airoso del 3er grado de entrevista de Ana Rosa. #AbascalAR</t>
  </si>
  <si>
    <t>Sonsoles Ónega</t>
  </si>
  <si>
    <t>Algunos titulares @Santi_ABASCAL con @anarosaq : -No a los matrimonios gays. -Franco en el valle. -Reformas de estatutos autonómicos para devolver educación y sanidad al estado. -“Los inmigrantes no vienen a pagarnos las pensiones/ vienen a por las ayudas sociales”.</t>
  </si>
  <si>
    <t>https://pbs.twimg.com/media/Dto_r20XQAAG_3F.jpg</t>
  </si>
  <si>
    <t>YA ES MEDIODÍA en Tele5. Cuando anochece, escribo novelas.</t>
  </si>
  <si>
    <t>http://sonsolesonega.com</t>
  </si>
  <si>
    <t>🙏👏👏👏👏👏👏👏👏 #AbascalAR @Santi_ABASCAL Cuando estás orgulloso de ser español y de lo que significa, eres fascista. Pues entonces lo soy. Si para ser demócrata tengo que ir contra mi país, entonces no lo soy. @vox_es es una necesidad para los españoles.</t>
  </si>
  <si>
    <t>Manu Bético</t>
  </si>
  <si>
    <t>Sois un puto circo de mierda. No sabéis los dos juntos el asco que dais. @Santi_ABASCAL @anarosaq RT @anarosaq: Mañana en @elprogramadear la primera entrevista en televisión de @Santi_ABASCAL . Son muchas las preguntas para el lider de @vox_es . La sorpresa en la política española.</t>
  </si>
  <si>
    <t>Montequinto</t>
  </si>
  <si>
    <t xml:space="preserve"> +20. Del viejo Gol Sur del Benito Villamarín. ⚽ Gol Sur 1er Anfiteatro. Sevilla, ANDALUCÍA.</t>
  </si>
  <si>
    <t>http://www.instagram.com/maanubetico24</t>
  </si>
  <si>
    <t>Leoncico</t>
  </si>
  <si>
    <t>Página del Poder Judicial: - 2016: 38 mujeres muertas / 10 hombres.En 2013 y 2014 el 25% de las asesinos de parejas fueron extranjeros. @anarosaq ¿sigues diciendo a @Santi_ABASCAL que no hay hombres muertos y que los extranjeros no aumentan los números? #AbascalAR</t>
  </si>
  <si>
    <t>Perro conquistador de las Américas.</t>
  </si>
  <si>
    <t>Que vergüenza da @anarosaq en la entrevista a @Santi_ABASCAL , qué tía!!</t>
  </si>
  <si>
    <t>Estudiante de Derecho y Economía en la US</t>
  </si>
  <si>
    <t>meri</t>
  </si>
  <si>
    <t>Ya era hora de darle la oportunidad a @Santi_ABASCAL de expresarse en un medio de comunicación. #AbascalAR</t>
  </si>
  <si>
    <t>Estudiante de Relaciones Internacionales en la Universidad Antonio de Nebrija</t>
  </si>
  <si>
    <t>Paloma 🇪🇸🇪🇸🇪🇸⚔️⚔️⚔️</t>
  </si>
  <si>
    <t>Pq no le preguntas a @Santi_ABASCAL sobre la persecución q sufrieron él y su familia por parte de ETA @anarosaq ? Tu demagogia no tiene límites.</t>
  </si>
  <si>
    <t>Con los pies descalzos y el corazón contento</t>
  </si>
  <si>
    <t>En el momento en que el coletas, capo de la #OrganizaciónCriminal @ahorapodemos totalmente desencajado, llamó a la alerta antifascista contra @vox_es #AbascalAR @Santi_ABASCAL ganó cientos de miles de votos más. @elprogramadear #LaEspañaViva #LosEspañolesPrimero 🇪🇸🇪🇸🇪🇸🇪🇸🇪🇸🇪🇸</t>
  </si>
  <si>
    <t>https://pbs.twimg.com/media/Dto-4H_W4AE0k2D.jpg</t>
  </si>
  <si>
    <t>BSV</t>
  </si>
  <si>
    <t>Mi apoyo total a VOX, necesitábamos un partido asi en España!! Ya esta bien de memeces y de no llamar a las cosas por su nombre,@Santi_ABASCAL tienes mi voto!!! #AbascalAR</t>
  </si>
  <si>
    <t>anti-podemos y cía</t>
  </si>
  <si>
    <t>“Vamos a derogar la ley de memoria histórica porque no vamos a permitir que nadie amordace a los españoles” @Santi_ABASCAL #AbascalAR</t>
  </si>
  <si>
    <t>Bravo @Santi_ABASCAL !!!, así se le habla a la ignorante Ana Rosa Quintana.</t>
  </si>
  <si>
    <t>#AbascalAR La “Izquierdosa” Millonaria intenta atacar a #VOX y a @Santi_ABASCAL pero la está saliendo rana.Repaso en respuestas de #Abascal a la petarda q ha salido pensando q está en un Ring d Boxeo.Lamentable q se llame periodista viendo su parcialidad</t>
  </si>
  <si>
    <t>Que entrevistas estas dando @Santi_ABASCAL</t>
  </si>
  <si>
    <t>RaPiqFu</t>
  </si>
  <si>
    <t>La izmierda sale a liarla a la calle pq tiene miedo, tiene miedo de valientes como @Santi_ABASCAL u @Ortega_Smith q amenazan con sacarles de su zona de confort y como son valientes la izmierda arremete de forma cobarde y rastrera. Siempre ha sido así...</t>
  </si>
  <si>
    <t>1ª premisa vestirse por los pies. 2ª premisa pensar por mi mismo. 3ª premisa no perder el tiempo.</t>
  </si>
  <si>
    <t>“No nos oponemos a ningún colectivo y apostamos por regular las uniones civiles” @Santi_ABASCAL #AbascalAR</t>
  </si>
  <si>
    <t>Y FÍSICA NUCLEAR EN DOS TARDES</t>
  </si>
  <si>
    <t>#AbascalAR " hay muchos homosexuales que piensan como nosotros " Santi llevo desde hace 19 años robando del sector público Abascal</t>
  </si>
  <si>
    <t>QUE SOBRES NI SOBRES</t>
  </si>
  <si>
    <t>Karlos T</t>
  </si>
  <si>
    <t>#AbascalAR A ver Ana Rosa Quintana, que las denuncias falsas contra el hombre no existen? Te dejo una reciente. Suma y sigue... Parece mentira que seas periodista.  #VOX @vox_es @Vox @Santi_ABASCAL @anarosaq</t>
  </si>
  <si>
    <t>https://www.diariosur.es/malaga-capital/investigada-denuncia-falsa-20181123230430-nt.html</t>
  </si>
  <si>
    <t>https://pbs.twimg.com/media/Dto96v9W0AA80XQ.jpg</t>
  </si>
  <si>
    <t>Unicorn Content</t>
  </si>
  <si>
    <t>Muy interesante la entrevista que @anarosaq está realizando a @Santi_ABASCAL , líder de @vox_es con todos los temas de su programa sobre la mesa: violencia de género, aborto, unidad nacional, autonomías, matrimonio gay... Ahora en directo @telecincoes RT @elprogramadear: #AbascalAR: “Defendemos la unidad nacional y creemos en la libertad de los españoles”</t>
  </si>
  <si>
    <t>https://twitter.com/elprogramadear/status/1070232354617200640</t>
  </si>
  <si>
    <t>Producimos contenidos audiovisuales únicos, actualidad e información en directo. Nos apasionan las historias originales, las emociones... y los unicornios.</t>
  </si>
  <si>
    <t>http://unicorntv.es</t>
  </si>
  <si>
    <t>Anchoa sin espina</t>
  </si>
  <si>
    <t>"Abascal Pim, Pam, Pum": el día que @Santi_ABASCAL fue golpeado y escupido por batasunos</t>
  </si>
  <si>
    <t>https://www.cope.es/n/304935</t>
  </si>
  <si>
    <t>Anchoa sin espina, autónoma y española.</t>
  </si>
  <si>
    <t>Saco de Mierda</t>
  </si>
  <si>
    <t>Santi Abascal regalando revisiones prostáticas a sus votantes varones.</t>
  </si>
  <si>
    <t>Comedy (anti)Hero. Offense professional. Churros and hot cocoa. De andar por casa socks. Broken condom.</t>
  </si>
  <si>
    <t>#AbascalAR. Acepto aunque me duelan los ojos el ver al “señor” @Santi_ABASCAL , pero por favor que diga algo coherente, inteligente y acorde con el siglo XXI, y lo que mayoritariamente dice europa</t>
  </si>
  <si>
    <t>Vaya ridículo @Santi_ABASCAL ha hecho en @elprogramadear , machista, xenófobo, racista, homófobo y viviendo de mamandurrias toda su vida. #SomosLaAudiencia5D , dice el cuervo @Santi_ABASCAL q no es machista, xq tiene 2hijas, madre, abuela. Este tonto no tiene luces ni una</t>
  </si>
  <si>
    <t>Patricia Fernández ✌</t>
  </si>
  <si>
    <t>Gracias @anarosaq por dejarle claro que el problema es la educación. Por cierto @Santi_ABASCAL no pedimos perpetua pedimos que no se llegue a la violencia GRACIAS. Cómo puedes opinar si no sabes lo que es llevar dentro a un bebé... #nosotrasdecidimos #AbascalAR</t>
  </si>
  <si>
    <t>✌❤ Pedagoga. MILITANTE HUMANISTA</t>
  </si>
  <si>
    <t>Sannnnnndra</t>
  </si>
  <si>
    <t>La reinserción no sirve para nada. Entonces, ¿para qué coño estoy estudiando Educación Social? @Santi_ABASCAL</t>
  </si>
  <si>
    <t>2 💛 Educación Social 📚</t>
  </si>
  <si>
    <t>http://Instagram.com/sannnnnnnnsan</t>
  </si>
  <si>
    <t>“Somos el único partido que propone la cadena perpetua para los violadores, imposibles de reinsertar” @Santi_ABASCAL #AbascalAR</t>
  </si>
  <si>
    <t>Alejandra Coca</t>
  </si>
  <si>
    <t>Ana Rosa Quintana siendo “muy neutral” en su entrevista con @Santi_ABASCAL Basta ya, un periodista tiene que ser imparcial, y hay que dejar hablar al entrevistado siempre, por favor. #AbascalAR</t>
  </si>
  <si>
    <t>Aprendiz de periodista🎙📝 Apasionada de la comunicación y el marketing. Fiel amante de los animales y el motociclismo. Disfrutando las mañanas en @alumniufv</t>
  </si>
  <si>
    <t>España Despierta Par</t>
  </si>
  <si>
    <t>Que dice @anarosaq que no hay muertes de hombres en el ámbito familiar. Se lo acaba de decir a @Santi_ABASCAL Quizá el Observatorio de @merece_saberlo pueda mostrar alguna recopilación de datos al respecto.</t>
  </si>
  <si>
    <t>Partido político creado por y para padres, madres y abuelos engañados. DEROGACIÓN LIVG, CUSTODIA COMPARTIDA. Pedimos todo el apoyo para @vox_es. Vota VOX 🇪🇸</t>
  </si>
  <si>
    <t>👉🏻No te rías que es peor: Pide a varios manifestantes que expliquen la razón para llamar a VOX “ultraderecha” y se les cortocircuita el cerebro  @vox_es @ActuaBaleares @Santi_ABASCAL @jcamposasensi @MMContesti @voxnoticias_es @gsampolfer @paatri_guerrero</t>
  </si>
  <si>
    <t>https://www.diaribalear.es/no-te-rias-que-es-peor-pide-a-varios-manifestantes-que-expliquen-la-razon-para-llamar-a-vox-ultraderecha-y-se-les-cortocircuita-el-cerebro/</t>
  </si>
  <si>
    <t>Jaume Ors .Ñ.🇪🇸</t>
  </si>
  <si>
    <t>#AbascalAR VOX ha llegado para quedarse. Por España. Extrema necesidad. Son los únicos que han puesto contra las cuerdas al separatismo catalán en los tribunales. Un saludo cordial a @Santi_ABASCAL desde Barcelona.</t>
  </si>
  <si>
    <t>Es la hora de #España. NUESTRA INDESTRUCTIBLE ESPAÑA. Se acabó el tiempo del respeto al comunismo y al separatismo. #patriotismo #VOX #stopislam #misbanderas</t>
  </si>
  <si>
    <t>Susa</t>
  </si>
  <si>
    <t>#AbascalAR el "comunicador" @LuisArroyoM "descalificando" a @Santi_ABASCAL y @vox_es 😁😁😁 otro más visceral no podía encontrar esta señora del 5 no?🤣 A ver, cuando algo es personal, carece de objetividad, señora del 5, perdone UD que no recuerde su nombre 😉</t>
  </si>
  <si>
    <t>José Luis Zamarriego Guñalons 🇪🇸</t>
  </si>
  <si>
    <t>"Hace falta una Ley que no acabe con la presunción de inocencia de los hombres" @Santi_ABASCAL @vox_es en #AbascalAR</t>
  </si>
  <si>
    <t>De 1957. Economista; ayudo a empresarios en su sudoku legal.</t>
  </si>
  <si>
    <t>Ana Rosa Quintana @anarosaq niega varones muertos en el hogar. TOMA YA! y @Santi_ABASCAL no le aporta ni un solo hombre muerto, TOMA YA!</t>
  </si>
  <si>
    <t>https://chefyc.wordpress.com/2015/11/19/porcentajes-de-homicidas-por-ano-2013-2017-segun-sexo-y-ambito-de-la-agresion-intrafamiliar/</t>
  </si>
  <si>
    <t>Pq no abogas por una mejor educación antes q atacar a @Santi_ABASCAL por la abolición de una ley de genero sexista e injusta @anarosaq ? Ya está bien de demagogia</t>
  </si>
  <si>
    <t>#AbascalAR Disfruta de tu minutito de gloria querido (o no!) @Santi_ABASCAL... disfrútalo porque te va a durar muy poquito !!! #MuerteAlFascismo Que te quede claro que os vamos a aplastar cual garrapata en rata de cloaca sarnosa</t>
  </si>
  <si>
    <t>“Queremos una ley de violencia intrafamiliar justa, que ampare y proteja a todas las personas y que no criminalice per se a los hombres” @Santi_ABASCAL #AbascalAR</t>
  </si>
  <si>
    <t>Elena Vox</t>
  </si>
  <si>
    <t>Vamos @Santi_ABASCAL que ya te está metiendo ' caña" telecirco, puedes con ellos OLE TUUUU 👏👏</t>
  </si>
  <si>
    <t>Si no piensas como yo no me leas, no me contestes porque la tecla del bloqueo me encanta. ESPAÑA LO PRIMERO. !!FACHA!! 🇪🇸. Del ATLETI</t>
  </si>
  <si>
    <t>peggysue</t>
  </si>
  <si>
    <t>Yo si fuese el jefe del estado y sabiendo el odio d @Santi_ABASCAL a l@s comunistas y q va armado pediría una orden d alejamiento putos comunistas</t>
  </si>
  <si>
    <t>https://pbs.twimg.com/media/Dto8ef7W4AAEneF.jpg</t>
  </si>
  <si>
    <t>casadelabono#perigal</t>
  </si>
  <si>
    <t>#AbascalAR El cáncer para la democracia @vox_es con @Santi_ABASCAL al frente hay q erradicarlo antes dq se extienda x todo el organismo, pero con políticas no con violencia @Pablo_Iglesias_ @sanchezcastejon @pablocasado_ Y @Albert_Rivera Tienen q ponerse las pilas. @loretoochando</t>
  </si>
  <si>
    <t>E</t>
  </si>
  <si>
    <t>Pongan ustedes @telecincoes y conozcan en manos de quien estamos ! @Santi_ABASCAL : “somos un partido de extrema necesidad para España”. Perdone usted que le diga, las necesidades no se tratan así. #AbascalAR</t>
  </si>
  <si>
    <t>M E R A K I 🌙</t>
  </si>
  <si>
    <t>𝔸𝕣𝕖𝕫𝕟𝕠</t>
  </si>
  <si>
    <t>El ojo izquierdo de Santi Abascal es de Podemos.</t>
  </si>
  <si>
    <t>https://pbs.twimg.com/media/Dto8QV_WsAAaPkc.jpg</t>
  </si>
  <si>
    <t>En la inopia</t>
  </si>
  <si>
    <t>No respondo, solo BLOCK. Tengo un Galaxy Note 9 y una Galaxy Tab S4 LTE y tú no.</t>
  </si>
  <si>
    <t>https://www.instagram.com/arezno/</t>
  </si>
  <si>
    <t>David Valderrama ®</t>
  </si>
  <si>
    <t>Se de uno que hoy da en el clavo con su recuadro: Don Antonio @AbeInfanzon "Demonizar a @vox_es "  @Santi_ABASCAL @Ortega_Smith @ivanedlm @monasterioR @FSerranoCastro</t>
  </si>
  <si>
    <t>http://www.antonioburgos.com/abc/2018/12/re120518.html</t>
  </si>
  <si>
    <t>Palencia y Madrid</t>
  </si>
  <si>
    <t>Abogado. Tauromaquia, Caballos, Caza, Gastronomía y todo lo que tenga que ver con el Campo. Pero ante todo: Dios y España.</t>
  </si>
  <si>
    <t>👏🏻👏🏻👏🏻👏🏻 Primera vez en mi vida que veo a @anarosaq por una buena causa @Santi_ABASCAL RT @monasterioR: VOX es un partido de extrema necesidad para España, defendemos cosas con las que se identifican a muchos españoles. #AbascalAR</t>
  </si>
  <si>
    <t>https://twitter.com/monasterior/status/1070232458354937856</t>
  </si>
  <si>
    <t>https://pbs.twimg.com/media/Dto6vkpXQAAIlvx.jpg</t>
  </si>
  <si>
    <t>Hasta Julio Anguita pide que si la extrema derecha es honrada se le vote @vox_es @voxnoticias_es @Santi_ABASCAL @CristinaSegui_ @ldpsincomplejos @hermanntertsch #40AñosdeLibertad RT @marubimo: No os perdáis a Julio Anguita, referente moral y espiritual del comunismo español, atacar la farsa de @Pablo_Iglesias_ y su 🐒 de feria @agarzon.....Es colosal 😂😂😂😂😂</t>
  </si>
  <si>
    <t>https://twitter.com/marubimo/status/1070013194150862853</t>
  </si>
  <si>
    <t>pic.twitter.com/nr6PAYKYbs</t>
  </si>
  <si>
    <t>SrtaHope</t>
  </si>
  <si>
    <t>Habéis pasado de José Antonio a Santi Abascal, fachas. Ahí, ahí, mejorando lo PRESENTE...</t>
  </si>
  <si>
    <t>Antifascista. Feminista. Curiosa. Lectora voraz. #RecomiendaUnLibro</t>
  </si>
  <si>
    <t>#AbascalAR Andalucía por ESPAÑA, esa palabra que no parece estar bien decir para los medios. @Santi_ABASCAL</t>
  </si>
  <si>
    <t>.@elprogramadear escuchen atentamente a @Santi_ABASCAL y descubrirán que les han estado mintiendo no es el "coco" de "extrema extrema derecha"</t>
  </si>
  <si>
    <t>#AbascalAR @vox_es @Santi_ABASCAL luchando por la igualdad, democracia y la libertad en España frente a la ultraizquierda radical y violenta</t>
  </si>
  <si>
    <t>pic.twitter.com/2WHmlgTWlJ</t>
  </si>
  <si>
    <t>📺 @Santi_ABASCAL en @elprogramadear @anarosaq "VOX es un partido de extrema necesidad y no estamos preocupados en defendernos de los estigmas".</t>
  </si>
  <si>
    <t>Entrevista a .@Santi_ABASCAL #AbascalAR "VOX es un partido de extrema necesidad para España".</t>
  </si>
  <si>
    <t>pic.twitter.com/eeV7GQcSEV</t>
  </si>
  <si>
    <t>Salud anguita</t>
  </si>
  <si>
    <t>Disfrutando hoy en @telecincoes al escuchar a @Santi_ABASCAL</t>
  </si>
  <si>
    <t>https://pbs.twimg.com/media/Dto69WkXgAYQOtm.jpg</t>
  </si>
  <si>
    <t xml:space="preserve">Jaén </t>
  </si>
  <si>
    <t>Licenciada en derecho,concejal en el Ayuntamiento de Jaen , Vicesecretaria Nacional de Implantación Territorial de VOX y defendiendo la unidad de España.</t>
  </si>
  <si>
    <t>Becaria de Segurola</t>
  </si>
  <si>
    <t>que diferencia ver a @Santi_ABASCAL en una entrevista en TV y ver por otro lado el falso postureo del okupa de la Moncloa ayer con piqueras</t>
  </si>
  <si>
    <t>Socio Madridista. No me gustan los madridistas disfrazados como Valdano y Delbosque. Casillas : lo que fuiste y en que has quedado !!. Gracias Sara</t>
  </si>
  <si>
    <t>Jesús G Escobar</t>
  </si>
  <si>
    <t>Quien quiera ver @Santi_ABASCAL en Telecinco ahora mismo en directo 🇪🇸💪</t>
  </si>
  <si>
    <t>Dale duro @Santi_ABASCAL .Las cosas claras a @anarosaq</t>
  </si>
  <si>
    <t>#DenunciarAPabloIglesias Disturbios en las calles provocados por el "#constinucionalista" @Pablo_Iglesias_ de galapagar ¿A qué esperáis, a que lo denuncie yo? @Santi_ABASCAL @Albert_Rivera @pablocasado_</t>
  </si>
  <si>
    <t>Estaremos atentos al cumplimiento de esas palabras. @vox_es @Santi_ABASCAL RT @okdiario: Santiago Abascal: “No pediremos cargos en la Junta de Andalucía, nosotros queremos medidas no sillones”</t>
  </si>
  <si>
    <t>https://twitter.com/okdiario/status/1070030310723727360
https://okdiario.com/espana/2018/12/04/santiago-abascal-no-pediremos-cargos-junta-andalucia-nosotros-queremos-medidas-no-sillones-3427208?utm_term=Autofeed&amp;utm_campaign=ok&amp;utm_medium=Social&amp;utm_source=Twitter#Echobox=1543950080</t>
  </si>
  <si>
    <t>DIRECTO | Primera entrevista en televisión a @Santi_ABASCAL: "@vox_es es un partido de extrema necesidad para España" #AbascalAR &gt;</t>
  </si>
  <si>
    <t>http://mdia.st/directo5</t>
  </si>
  <si>
    <t>https://pbs.twimg.com/media/Dto6bV8WoAA7HOv.jpg</t>
  </si>
  <si>
    <t>#AbascalAR Los totalitarios proetarras, los amigos de @ahorapodemos y @PSOE . @vox @Santi_ABASCAL puede ser la solución a el fascismo de ultra izquierda y la continuidad de la democracia en España🇪🇸</t>
  </si>
  <si>
    <t>Jorge Alexandre</t>
  </si>
  <si>
    <t>Después de las voces contra @vox_es y @Santi_ABASCAL, convendría que empezáramos con el análisis. Lo intento en este artículo en @Debate_21</t>
  </si>
  <si>
    <t>https://debate21.es/2018/12/05/vox-no-es-blas-pinar/</t>
  </si>
  <si>
    <t>España, UE</t>
  </si>
  <si>
    <t>Compliance y Ética corporativa | Relaciones Institucionales | Pude terminar mi doctorado | Y una vez trabajé en política | Me gusta la Ciencia y la Historia</t>
  </si>
  <si>
    <t>http://www.jorgealexandre.es</t>
  </si>
  <si>
    <t>Marcial Rguez Gacio</t>
  </si>
  <si>
    <t>.@Santi_ABASCAL dice que @vox_es es un partido de extrema necesidad para España y reconoce que les han votado desencantados del @PPopular @CiudadanosCs y de la izquierda #AbascalAR</t>
  </si>
  <si>
    <t>#Periodista. Mis opiniones son mías #buceo #tenis #viajes #Bruselas #Ponferrada #Galicia #Madrid #orgullosotodoslosdías y muy #Géminis</t>
  </si>
  <si>
    <t>Carlos H. G.</t>
  </si>
  <si>
    <t>Enorme @Santi_ABASCAL en #AbascalAR...@vox_es es de EXTREMA NECESIDAD!!!!!!!!!</t>
  </si>
  <si>
    <t>VOX Chamberí</t>
  </si>
  <si>
    <t>🔴 Ahora mismo, en Telecinco, Ana Rosa va ha entrevistar a @Santi_ABASCAL 🇪🇸🇪🇸</t>
  </si>
  <si>
    <t>Queremos ser un puente de unión entre los vecinos de Chamberí. Vox tiene mucho que hacer en nuestro distrito. Empezamos nueva etapa, ¡ÚNETE!</t>
  </si>
  <si>
    <t>VOX Ciudad Lineal</t>
  </si>
  <si>
    <t>En estos momentos nuestro presidente @Santi_ABASCAL entrevistado en @telecincoes en el programa de Ana Rosa</t>
  </si>
  <si>
    <t>España, lo primero.</t>
  </si>
  <si>
    <t>Cuenta oficial del partido político VOX en el distrito de Ciudad Lineal</t>
  </si>
  <si>
    <t>#AbascalAR Los totalitarios proetarras, los amigos de @ahorapodemos y @PSOE . @vox @Santi_ABASCAL "Abascal Pim, Pam, Pum": el día que el líder de Vox fue golpeado y escupido por batasunos</t>
  </si>
  <si>
    <t>Ketty Garat</t>
  </si>
  <si>
    <t>Primera entrevista de @Santi_ABASCAL en televisión en @elprogramadear para explicar el auge de @vox_es</t>
  </si>
  <si>
    <t>https://pbs.twimg.com/media/Dto52qcWkAUr7i1.jpg</t>
  </si>
  <si>
    <t>Cronista parlamentaria del grupo Libertad Digital y esRadio. La guinda: sigo al @PSOE</t>
  </si>
  <si>
    <t>Con la verdad no ofendo ni temo, estamos del lado correcto de la historia. ¡Viva España! 🇪🇸 @Santi_ABASCAL RT @Santi_ABASCAL: Después de que hordas comunistas empujadas por Pablo Iglesias aullaran pidiendo descuartizar "a pedazos" a los miembros de VOX, vemos como hay periodistas señalando direcciones y a familiares de candidatos. Tomamos nota. Pero ya advertimos: serán culpables de las consecuencias.</t>
  </si>
  <si>
    <t>#sanchezT5AR #AR05N @sanchezcastejon ""El Hombre q susurraba a los desencantados""" Vamos. @anarosaq !!!! q hoy bates récords de audiencia con @Santi_ABASCAL @vox_es @Ortega_Smith 🇪🇸🇪🇸🇪🇸🇪🇸🇪🇸👏🇪🇸🇪🇸🇪🇸🇪🇸</t>
  </si>
  <si>
    <t>JAVIER CALVO MERCHAN</t>
  </si>
  <si>
    <t>El gran merito de Santi Abascal de Vox, es hacerse pasar por un outsider como Trump cuando la realidad es que lleva viviendo de la politica desde 1999. No tiene profesion conocida.</t>
  </si>
  <si>
    <t>Marbella, España</t>
  </si>
  <si>
    <t>ICCP, orgulloso de no haber traicionado nunca a aquel niño curioso que soñaba con ser ingeniero para entender mejor el mundo. Runner inspired by Terry Fox</t>
  </si>
  <si>
    <t>Minarquista 🇪🇸</t>
  </si>
  <si>
    <t>Buenos días @vox_es , @Santi_ABASCAL ¿Cuando empezamos con la colecta, para llevar a juicio a la cúpula de Podemos, por incitacion a la violencia y odio ideológico? Yo estoy listo.</t>
  </si>
  <si>
    <t>Cuanto menos estado, mas libertad. Perfil en la red libre Gab: https://gab.ai/Minarquista</t>
  </si>
  <si>
    <t>Sufrido Murciano</t>
  </si>
  <si>
    <t>Espero que recuerde @Santi_ABASCAL esto y que sea valiente (Que siga defendiendo liberalizar el sector audiovisual.)  RT @anarosaq: Mañana en @elprogramadear la primera entrevista en televisión de @Santi_ABASCAL . Son muchas las preguntas para el lider de @vox_es . La sorpresa en la política española.</t>
  </si>
  <si>
    <t>https://www.formulatv.com/noticias/ana-rosa-quintana-responde-ortega-lara-vox-espanoles-somos-todos-85980/
https://twitter.com/anarosaq/status/1070034841066983427</t>
  </si>
  <si>
    <t>http://sufridomurciano.blogspot.com</t>
  </si>
  <si>
    <t>Que alguien le diga a la roja @cayetanaAT que la Constitución permite QUITAR LA NACIONALIDAD A QUIEN NO ES ESPAÑOL DE ORIGEN, COMO R2D2 ECHEMINGA @eslamananadeFJL @ Bien por @Santi_ABASCAL @Vox_es #VoxAvanza #FrenarElFascismo de los que han perdido 700 000 votos el Andalucía</t>
  </si>
  <si>
    <t>Entrevista a Santi_ABASCAL, presidente de vox_es: «Vamos a los parlamentos para acabar con el Estado de las autonomías»</t>
  </si>
  <si>
    <t>https://www.lasprovincias.es/elecciones/andaluzas/santiago-abascal-agresiones-mujeres-extranjeros-20181205204345-ntrc.html</t>
  </si>
  <si>
    <t>Entrevista a @Santi_ABASCAL, presidente de @vox_es: «Vamos a los parlamentos para acabar con el Estado de las autonomías»</t>
  </si>
  <si>
    <t>EL00LEON</t>
  </si>
  <si>
    <t>Como dijo @Santi_ABASCAL el responsable de todo esto y de lo que venga es @ahorapodemos por su llamamiento VIOLENTO de “frente antifascista” Ellos SÍ son unos auténticos fascistas, estas son la pruebas 👇🏻👇🏻👇🏻👇🏻👇🏻👇🏻👇🏻👇🏻👇🏻👇🏻👇🏻👇🏻👇🏻 RT @PerdigueroSIPEp: Cadiz anoche. El del casoplón debería pagar todos los daños ocasionados, por incitar a la gente a salir al no aceptar los resultados de las elecciones.</t>
  </si>
  <si>
    <t>https://twitter.com/perdiguerosipep/status/1070219550241812481</t>
  </si>
  <si>
    <t>https://pbs.twimg.com/media/Dtou-paWwAAolBS.jpg</t>
  </si>
  <si>
    <t>🇪🇸 Vic RM 🇪🇸</t>
  </si>
  <si>
    <t>La primera vez que voy a ver el programa de Ana Rosa para disfrutar del próximo presidente de ESPAÑA. @Santi_ABASCAL #EspañaViva #VivaEspaña 🇪🇸🇪🇸🇪🇸🇪🇸</t>
  </si>
  <si>
    <t>Si tienes fe en el Real Madrid, casi todo lo demás es secundario.</t>
  </si>
  <si>
    <t>#EspañaEsUna #SuperVox #Vox #VozAvanza #EspañaLoPrimero #LaEspañaQueMadruga #LaEspañaQueTrabaja voxnoticias_es: 📺 Hoy a partir de las 9:00 horas, entrevista en directo a Santi_ABASCAL en elprogramadear de telecincoes por primera vez para analizar los…</t>
  </si>
  <si>
    <t>https://pbs.twimg.com/media/DtolFl-XQAEWxel.jpg</t>
  </si>
  <si>
    <t>Más comentados ahora en Derecha/Centro Dcha.: ➀ @Santi_ABASCAL ↑ ➁ @ahorapodemos ↑ ➂ @vox_es ↓ ➃ @juanchoex ↓ ➄ @sanchezcastejon ↓ ➅ @PPopular ↑ ➆ @Alvisepf ↑ ➇ @ivanedlm ➈ @Miotroyo2parte ↑ ➉ @PSOE ↓</t>
  </si>
  <si>
    <t>Más influyentes ahora en Derecha/Centro Dcha.: ➀ @Santi_ABASCAL ↑ ➁ @juanchoex ↓ ➂ @Alvisepf ↑ ➃ @ivanedlm ↓ ➄ @Miotroyo2parte ↑ ➅ @javiernegre10 ↑ ➆ @ElAguijon_ ↑↑ ➇ @Nanchinho ↑ ➈ @josepramonbosch ↑</t>
  </si>
  <si>
    <t>Antonio Corrales</t>
  </si>
  <si>
    <t>Voy a resistonizar @tele5 después de años, ya que hoy a las 9h entrevistan a @Santi_ABASCAL en el programa de la progre Ana Rosa.</t>
  </si>
  <si>
    <t>Coordinador Provincial VOX España en zona electoral de Aranjuez y Coordinador de VOX Valdemoro. Un patriota al servicio de España y de sus españoles.</t>
  </si>
  <si>
    <t>Emilio 🇪🇸</t>
  </si>
  <si>
    <t>A mí @Santi_ABASCAL me representa. Es la clase de político que siempre me ha gustado.</t>
  </si>
  <si>
    <t>pic.twitter.com/y3p83EOAf2</t>
  </si>
  <si>
    <t>Loco por el futbol,adicto al café,buscador de felicidad ajena y madridista,muy madridista.Colaborando en @insoblanca Si buscas pelea has ido al sitio equivocado</t>
  </si>
  <si>
    <t>Emilio Santiago</t>
  </si>
  <si>
    <t>"...hemos hecho una campaña muy austera en la que hemos viajado en furgoneta, nos hemos alojado en casas de amigos y hemos gastado lo mínimo." Pues a ver si ahora seguís igual y no os echáis a perder, @Santi_ABASCAL Yo confío en que así será 😉</t>
  </si>
  <si>
    <t>https://www.abc.es/espana/abci-santiago-abascal-sanchez-no-dura-minuto-moncloa-si-adelanta-elecciones-201812042205_noticia.html#ns_campaign=rrss-inducido&amp;ns_mchannel=abc-es&amp;ns_source=fb&amp;ns_linkname=noticia-video&amp;ns_fee=0</t>
  </si>
  <si>
    <t>Ni es oro todo lo que reluce, ni democrático todo lo que se vota.</t>
  </si>
  <si>
    <t>figueroa maroñas</t>
  </si>
  <si>
    <t>El CV de Santi Abascal, un Chupotero y Vividor del Sistema Político y Falso "Profeta" del Populismo de Extremaderecha Fascista y Ex PP. Esto puede Explicar porqué el PP, NO tiene Problemas de Pactar con un Individuo como Él... 🤨🤨🤨 #LaCafeteraPactox</t>
  </si>
  <si>
    <t>pic.twitter.com/qfZts9MjEW</t>
  </si>
  <si>
    <t>Negreira, Galiza</t>
  </si>
  <si>
    <t>Mis Circustancias y Yo 🤔</t>
  </si>
  <si>
    <t>Muly</t>
  </si>
  <si>
    <t>El chalet de Pablo y el haber vivido de la política toda la vida, el racismo, la xenofobia, el machismo, la homofobia, el odio y la admiración del medievo de Santi Abascal. ¿Veis como los extremos se tocan?</t>
  </si>
  <si>
    <t>La curiosidad es mi caballo y nunca acabo de aprender si estoy despierto_ Estoy aquí para expresarme, no para impresionarte_ #15M // Sr. Fiscal: RT≠endorsement</t>
  </si>
  <si>
    <t>http://www.movimiento15m.org</t>
  </si>
  <si>
    <t>Midoriya-shōnen #TH 💚</t>
  </si>
  <si>
    <t>Los aplausos de fondo, ufff. Mama polla racista de mierda @Santi_ABASCAL RT @vox_es: 📺 Esto ocurre en @A3Noticias ⚠ La presentadora califica "xenófobas y racistas" las ideas de millones de españoles mientras su equipo la aplaude. 📢 Ya nadie confía en vuestro pseudoperiodismo y cuanto más insultéis a los españoles más os van a dejar de creer.</t>
  </si>
  <si>
    <t>https://twitter.com/vox_es/status/1069685655825985537</t>
  </si>
  <si>
    <t>pic.twitter.com/VzP4NBg8k9</t>
  </si>
  <si>
    <t xml:space="preserve">El Nuevo Arcangel, Córdoba </t>
  </si>
  <si>
    <t>15 años de felicidad contigo @cordobacfsad || @Congeland0me {131,115} 🐧💙 || Cossso 🌱 || feminism will change the world</t>
  </si>
  <si>
    <t>Estimado @Santi_ABASCAL , hoy vas de cabeza a la boca del lobo en el programa de Ana Rosa. Van a ir a saco a por tí, espero que salgas airoso. Recuerda que Aznar ganó sus primeras elecciones sin dar una sóla entrevista a El País ni demás medios de PRISA. No le hizo falta.</t>
  </si>
  <si>
    <t>Mancuso</t>
  </si>
  <si>
    <t>Llamando al 010 para pedir una autorización para que Santi Abascal pueda entrar con su tanque en Madrid Central.</t>
  </si>
  <si>
    <t>Tirania</t>
  </si>
  <si>
    <t>Nunca me compraron el barco pirata de los clicks y eso lo explica todo.</t>
  </si>
  <si>
    <t>Soy Un Engendro</t>
  </si>
  <si>
    <t>Sr. @Santi_ABASCAL ¿cuanto va tardar en condenar la agresión de 15encapuchados, en Vitoria, a una persona por defender la unidad de #España 🇪🇸? Porque si no lo condena le voy acusar de #Fascista junto a todos los que no lo hagan Léalo para enterarse</t>
  </si>
  <si>
    <t>Engendro: “Criatura deforme o de gran falsedad; Obra mal concebida o mal hecha” Cuenta creada para denunciar los “engendros” de la vida. #Democracia #Libertad</t>
  </si>
  <si>
    <t>Miguel de Andrés</t>
  </si>
  <si>
    <t>Como sigan haciendo series y pelis del narcotrafico colombiano, Pablo Escobar va a resucitar, le va a robar la pistola a Santi Abascal y va a aniquilar a todos los guionistas de Hollywood y Netflix. Egunon.</t>
  </si>
  <si>
    <t>Basque Country</t>
  </si>
  <si>
    <t>Director creativo en Hortelanos. Profesor de creatividad y comunicación digital. Triatleta en mis ratos libres. No trabajo la bisutería.</t>
  </si>
  <si>
    <t>http://www.hortelanos.net</t>
  </si>
  <si>
    <t>.@Santi_ABASCAL : «La mayor parte de las agresiones a mujeres son obra de extranjeros y ese dato se oculta» ⬇</t>
  </si>
  <si>
    <t>http://dozz.es/oa7_j4</t>
  </si>
  <si>
    <t>emigdio herrero 🕇</t>
  </si>
  <si>
    <t>Buenos días señores de @vox_es espero que el señor @Santi_ABASCAL la señora @monasterioR señor @Ortega_Smith señor @Igarrigavaz entre otros políticos de vox los cachorros de @ehbildu han echo caso a @Pablo_Iglesias_ y su bufón @agarzon no saben perder y llaman a la violencia</t>
  </si>
  <si>
    <t>https://pbs.twimg.com/media/DtowgSxXQAETL2f.jpg</t>
  </si>
  <si>
    <t>Aguilar de Campoo, España</t>
  </si>
  <si>
    <t>un chico con caracter le gusta viajar el cine el atletico d madrid socio 6926 taxista d madrid mi vida es una locura 22 paises conozco 🇪🇸</t>
  </si>
  <si>
    <t>Hayek</t>
  </si>
  <si>
    <t>VIDEO de @Intereconomia @Gato_directo 🗽 Pregunta: Se presentará Aznar con @Vox_es como afirmaba el periodista @graciano_palomo ? 🗽 Respuesta contundente de @Santi_ABASCAL: Punto de inflexión en defensa de #España que remueve conciencias 🎓🇪🇸👇</t>
  </si>
  <si>
    <t>https://youtu.be/JPIlS0KdPhM</t>
  </si>
  <si>
    <t>Tabarnia, Spain</t>
  </si>
  <si>
    <t>Académico 100%. Vital 200%. Liberal 300%. Español 400%.Mejorando el marco institucional d Europa y América. Libros: #SalvemosVenezuela #EscuelaEspañolaEconomia</t>
  </si>
  <si>
    <t>Buenos dias, hoy para coger temperatura tenemos a @Santi_ABASCAL en el @elprogramadear . Atentos al rasero de mi amigo #JoaquinPrat</t>
  </si>
  <si>
    <t>Vlad el de Valaquia</t>
  </si>
  <si>
    <t>¿Es esta la alerta antifascista de la que hablaba El Conde de Galapagar? @vox_es @Santi_ABASCAL Agreden a un estudiante de Vitoria por defender la unidad de España  vía @elmundoes</t>
  </si>
  <si>
    <t>Valaquia</t>
  </si>
  <si>
    <t>Impartiendo Justicia desde 1456</t>
  </si>
  <si>
    <t>Capitán Garrapata</t>
  </si>
  <si>
    <t>Según @Santi_ABASCAL los españoles no tenemos por qué pagar de nuestros bolsillos a los partidos políticos.</t>
  </si>
  <si>
    <t>https://www.voxespana.es/los-afiliados-de-vox-se-beneficiaran-de-un-descuento-del-50-en-el-master-en-gobernanza-marketing-politico-y-comunicacion-estrategica-de-la-urjc</t>
  </si>
  <si>
    <t>Jaén, Iberia</t>
  </si>
  <si>
    <t>Fútbol &amp; política (No necesariamente en ese orden) Siempre Real Jaén CF</t>
  </si>
  <si>
    <t>Ante tanta desinformación y alarma sobre @vox_es, decidimos hurgar en el pasado de su líder @Santi_ABASCAL buscando sus nexos con la "Extrema Derecha" y desenmascararlo. Esto fue lo que encontramos y no lo verás en LaSecta. Dentro vídeo:</t>
  </si>
  <si>
    <t>Hasta cuando la autoridad va a permitir el acoso violento, antidemócrata, impositivo y liberticida de la izquierda? Siempre nos tendrán con la cabeza alta esperando. Lo aprendimos de nuestro líder @santi_abascal</t>
  </si>
  <si>
    <t>https://okdiario.com/opinion/2018/12/05/hasta-donde-va-llegar-esta-campana-acoso-3429149#.XAd7EjZqA7s.twitter</t>
  </si>
  <si>
    <t>Ante tanta desinformación y alarma sobre VOX, decidimos ponernos a hurgar en el pasado de su líder Santi Abascal, a ver qué nexos tenia que lo ligaran a la "Extrema Derecha". Estábamos...</t>
  </si>
  <si>
    <t>https://www.facebook.com/permalink.php?story_fbid=713550579024104&amp;id=100011075051553</t>
  </si>
  <si>
    <t>S’ESTÀN PASSANT</t>
  </si>
  <si>
    <t>Anoche @tv3cat modificó su programación para emitir un reportaje “de investigación” sobre cómo se financia @vox_es y @Santi_ABASCAL . ¿Alguien sabe cuando pasan el reportaje de investigación sobre cómo se paga todo el chiringuito de Waterloo?</t>
  </si>
  <si>
    <t>Las noticias de después del TN. Parodia.</t>
  </si>
  <si>
    <t>Siendo Realista</t>
  </si>
  <si>
    <t>Ayer le pegaron una paliza a un estudiantes de la UPV/EHU por defender su opinión y expresarse libremente. ¿Quién va a salir a defender su libertad de expresión @Pablo_Iglesias_ @Albert_Rivera @Santi_ABASCAL @sanchezcastejon @pablocasado_ ?</t>
  </si>
  <si>
    <t>Vivimos en un país en el que el doble rasero es constante, y en el que se juzga a las personas sin pararse a escuchar lo que dicen. Que sea más difícil.</t>
  </si>
  <si>
    <t>Agustín Martínez</t>
  </si>
  <si>
    <t>Cualquier inmigrante de los que criminalizan @pablocasado_ y @Santi_ABASCAL, han trabajado más en un día que estos dos "próceres" en toda su vida, después de que ambos acrediten 0 días cotizados, en ninguna actividad no derivada de "mamandurrias" varias.</t>
  </si>
  <si>
    <t>Periodista.Solo estáis leyendo mi opinión.</t>
  </si>
  <si>
    <t>https://www.cordoba.es</t>
  </si>
  <si>
    <t>Los 20 tuits más RTs de @santi_abascal @joninarritu @dolorsbassac @gallifantes @quimforn @gabrielrufian @jorditurull @jordialapreso @vickyrosell @ivanedlm @joseprull @krls @pnique el martes 4 de diciembre</t>
  </si>
  <si>
    <t>https://twitter.com/trendinaliaES/timelines/1070198266581606400</t>
  </si>
  <si>
    <t>Este twitt debería convertirse en viral en las redes... Tiene toda la razón: el responsable de los múltiples destrozos tiene nombre y apellidos: Pablo Iglesias Turrión... Que los pague de su bolsillo!!! @vox_es @PPopular @UPYD @CiudadanosCs @Santi_ABASCAL @pablocasado_ RT @Miercolesfacha1: ¿A qué espera la Fiscalía General del Estado para actuar contra el coletas @Pablo_Iglesias_ por los delitos de incitación al odio y a la violencia y por desórdenes públicos previstos y tipificados en el Código Penal? ¡¡¡Actuación ya!!! #imputaciondelitoscoletas</t>
  </si>
  <si>
    <t>https://twitter.com/Miercolesfacha1/status/1070031922120810497</t>
  </si>
  <si>
    <t>https://pbs.twimg.com/media/DtmEXDQW0AAXndH.jpg</t>
  </si>
  <si>
    <t>Más comentados ahora en Derecha/Centro Dcha.: ➀ @Santi_ABASCAL ↓ ➁ @ahorapodemos ↓ ➂ @sanchezcastejon ↓ ➃ @Alvisepf ↑↑↑ ➄ @vox_es ↑↑ ➅ @juanchoex ↑↑ ➆ @PPopular ↑↑ ➇ @ivanedlm ↑↑ ➈ @ElCascabelTRECE ↑↑ ➉ @PSOE ↑↑</t>
  </si>
  <si>
    <t>Más influyentes ahora en Derecha/Centro Dcha.: ➀ @Santi_ABASCAL ↓ ➁ @Alvisepf ↓ ➂ @juanchoex ↑↑ ➃ @ivanedlm ↑↑ ➄ @ElCascabelTRECE ↑↑ ➅ @libertaddigital ↑↑ ➆ @Miotroyo2parte ↑↑ ➇ @javiernegre10 ↑↑ ➈ @Nanchinho ↑↑</t>
  </si>
  <si>
    <t>La Hora Digital</t>
  </si>
  <si>
    <t>📢 “Cara al sol con la camisa nueva…”, canta @Santi_ABASCAL a una consternada @susanadiaz que últimamente no gana para disgustos... por @conchaminguela1 👉🏻  #LaHoraDigital #Andalucía #Opinión #FrenarElFascismo #4deDiciembre | @psoedeandalucia @psoe</t>
  </si>
  <si>
    <t>https://lahoradigital.com/noticia/17798/opinion/los-monstruos-se-han-despertado-en-andalucia.html</t>
  </si>
  <si>
    <t>La hora de la verdad. Dirigido por @conchaminguela1 | Síguenos también en Facebook, Instagram y YouTube | @LaHoraFeminista</t>
  </si>
  <si>
    <t>http://www.lahoradigital.com</t>
  </si>
  <si>
    <t>. @Santi_ABASCAL ;"No hemos venido a investir a una persona sino a defender ideas"."</t>
  </si>
  <si>
    <t>https://www.elespanol.com/espana/20181203/condiciones-abascal-vox-apoye-pp-andalucia/357964592_0.html</t>
  </si>
  <si>
    <t>Lolo Miralla</t>
  </si>
  <si>
    <t>Me ha gustado un vídeo de @YouTube ( - SANTI ABASCAL carga contra MANUELA CARMENA. ¿Qué opina VOX de las</t>
  </si>
  <si>
    <t>http://youtu.be/WVk6--jHJ70?a</t>
  </si>
  <si>
    <t>Sotogrande</t>
  </si>
  <si>
    <t>Federico Ha Dicho</t>
  </si>
  <si>
    <t>¿Cuántos actos políticos ha boicoteado VOX? Ninguno ¿Sabes tú quién es Ortega Lara o @Santi_ABASCAL?¿Pero tú quién te has creido que eres? El movimiento nazi en España sólo se ha producido en Cataluña y País Vasco. Por eso andan obsesionados con la superioridad de raza, ignorante RT @manuelvalls: La extrema derecha ha emergido en España. Ahora más que nunca es el momento de la responsabilidad y de recuperar el centro político. Pactos inteligentes, moderados y con sentido común, por el futuro de #España y de #Europa.</t>
  </si>
  <si>
    <t>https://twitter.com/manuelvalls/status/1069646817783099392
https://www.lavanguardia.com/politica/20181203/453315811270/valls-pide-moderacion-y-pactos-inteligentes-tras-la-irrupcion-de-vox.html</t>
  </si>
  <si>
    <t>REINO DE ESPAÑA</t>
  </si>
  <si>
    <t>Tuiteamos lo que tuitearía Federico si tuviera cuenta de Twitter</t>
  </si>
  <si>
    <t>Alberto Castillo</t>
  </si>
  <si>
    <t>Con todo respeto Sr @Santi_ABASCAL no me gusta nada ese lenguaje “Guerra civilista” ¿Hordas comunistas? ... No contribuya con su verbo a la crispación y no se venga arriba. No es el momento. Pongamos cordura todos RT @Santi_ABASCAL: Después de que hordas comunistas empujadas por Pablo Iglesias aullaran pidiendo descuartizar "a pedazos" a los miembros de VOX, vemos como hay periodistas señalando direcciones y a familiares de candidatos. Tomamos nota. Pero ya advertimos: serán culpables de las consecuencias.</t>
  </si>
  <si>
    <t>Periodista. Amante de mis raíces. Música clásica y literatura. Director de la Fundación de la Asociación de la Prensa de Murcia. Colaborador Diario La Opinión</t>
  </si>
  <si>
    <t>http://www.cajinesyalbares.com</t>
  </si>
  <si>
    <t>📺 Hoy a partir de las 9:00 horas, entrevista en directo a @Santi_ABASCAL en @elprogramadear de @telecincoes por primera vez para analizar los resultados electorales de Andalucía ¡No te lo pierdas! 🇪🇸💪🏻</t>
  </si>
  <si>
    <t>Es decir, @Juanma_Moreno y @JuanMarin_Cs no pintan nada en la configuración del futuro gobierno en #Madrid. Lo van a decidir @PabloCasado_ @Albert_Rivera y @Santi_Abascal. El espectáculo que están ofreciendo es lamentable. RT @CurroTroya: .@PabloCasado_ no descarta ofrecer consejerías a @Vox_ES y @CiudadanosCs en #Andalucía: El líder del PP insiste en que "lo único innegociable" es que sea su candidato quien presida la Junta</t>
  </si>
  <si>
    <t>https://twitter.com/CurroTroya/status/1070207391680159744
https://elpais.com/politica/2018/12/04/actualidad/1543928771_340736.html</t>
  </si>
  <si>
    <t>Amigo de Vox 🇪🇸</t>
  </si>
  <si>
    <t>Se ha pasado del temeroso «ese partido del que usted me habla» al enérgico «ese partido del que todos hablan» 💪 Gracias @Santi_ABASCAL, @vox_es, y a todos los que lo hacéis posible. #EspañaViva #VivaEspaña #Vox</t>
  </si>
  <si>
    <t>Alt Right (y facha)</t>
  </si>
  <si>
    <t>Ante tanta desinformación y alarma sobre VOX, decidimos ponernos a hurgar en el pasado de su líder Santi Abascal, a ver qué nexos tenia que lo ligaran a la "Extrema Derecha". Estábamos dispuestos a desenmascararlo y...</t>
  </si>
  <si>
    <t>https://www.facebook.com/ANTPODEMOS/videos/268745047327764/</t>
  </si>
  <si>
    <t>M.</t>
  </si>
  <si>
    <t>Santi Abascal, en tu cole no hay rival. Para nada estudiada esa pose de oler a Varon Dandy y de taladrar a lo martillo percutor.</t>
  </si>
  <si>
    <t>Noroeste</t>
  </si>
  <si>
    <t>Muller pra lonxe.</t>
  </si>
  <si>
    <t>Abalo Delgado</t>
  </si>
  <si>
    <t>.@eslamananadeFJL @esRadio No debería @pablocasado_ ponerse a ofrecer cargos a @vox_es a cambio de votos. @Santi_ABASCAL y @FSerranoCastro no aceptarán tal cosa. Lo que dijeron los de #VOX es negociar programa, medidas legales concretas</t>
  </si>
  <si>
    <t>FELINO</t>
  </si>
  <si>
    <t>La mayoría de los votantes de VOX no tienen ni puta idea de quién es Santi Abascal ni de donde viene, es un pepero, una rana de Aguirre, un señorito que cobraba más que el presidente por tocarse las pelotas. Machista, racista, xenófobo y franquista. Una perla</t>
  </si>
  <si>
    <t>No somos nada.</t>
  </si>
  <si>
    <t>VOX Alcoy</t>
  </si>
  <si>
    <t>Por cosas como esta se sigue a un líder @Santi_ABASCAL RT @okdiario: Santiago Abascal: “No pediremos cargos en la Junta de Andalucía, nosotros queremos medidas no sillones”</t>
  </si>
  <si>
    <t>Alcoy</t>
  </si>
  <si>
    <t>Cuenta NO oficial de VOX en Alcoy #vox</t>
  </si>
  <si>
    <t>Jueputa Hispaniol</t>
  </si>
  <si>
    <t>Esta mañana @anarosaq entrevista a @Santi_ABASCAL en directo. Sabrán en directo conseguir dejarle en mal lugar o les devolverá las pelotas como el mejor de los tenistas? Creo que callará muchas bocas, aún así los periodistas que van de "neutrales" solo diran "extrema derecha" 😱</t>
  </si>
  <si>
    <t>Español 🇪🇸. Ciudadano del 🌍. La izquierda y la derecha no existe, son los padres. Filosofando sobre lo que nos venden los políticos y medio de comunicación🤔</t>
  </si>
  <si>
    <t>Peter Parker</t>
  </si>
  <si>
    <t>El mequetrefe #PabloMansiones tambien quiere culpar de su estreñimiento a @Santi_ABASCAL hablando de hemorroides, porque la extrema izquierda podetarra ha perdido 300.000 votos en #Andalucia No se puede ser más niñato.</t>
  </si>
  <si>
    <t>https://www.libertaddigital.com/espana/2018-12-04/iglesias-contesta-a-abascal-espero-que-no-me-haga-responsable-tambien-de-sus-hemorroides-1276629344/</t>
  </si>
  <si>
    <t>SkyLine, NY</t>
  </si>
  <si>
    <t>¡¡¿Quien soy?!! Pregunté. Y mi Angel 👼 #DA me iluminó🕷️💘🕸️</t>
  </si>
  <si>
    <t>Adنlfo🇪🇸</t>
  </si>
  <si>
    <t>Espero q respetéis a @Santi_ABASCAL igual que a los totalitarios y golpistas a los q entrevistáis riendo las gracias. Ellos sí son peligrosos. RT @anarosaq: Mañana en @elprogramadear la primera entrevista en televisión de @Santi_ABASCAL . Son muchas las preguntas para el lider de @vox_es . La sorpresa en la política española.</t>
  </si>
  <si>
    <t>Tendido 7. Las Ventas (Madrid)</t>
  </si>
  <si>
    <t>Creador del blog @el_apartado Trapío,casta y bravura.Segoviano en Madrid. Heterosexual,ciclista,madridista y católico. Soy del #clubdeamigos de la @ftorodelidia</t>
  </si>
  <si>
    <t>http://blogelapartado.blogspot.com.es/?m=0</t>
  </si>
  <si>
    <t>Francisco Urbano ن 🎗</t>
  </si>
  <si>
    <t>.@Santi_Abascal exige el cierre de @canalsur: "Tiene que desaparecer"  @elconfidencial ¡Con lo buenos que son haciendo promos de sus programas! 😉 PARTE DE GUERRA @labasculaTV al estilo #StarshipTroppers Would you like to know more? #MieGenteChachi5Dic</t>
  </si>
  <si>
    <t>pic.twitter.com/u63Bqs9qqe</t>
  </si>
  <si>
    <t>Muere tú por tu rey, que yo lucharé por la vida, por la familia, por la libertad!! 🌟 El Puerto de Santa María</t>
  </si>
  <si>
    <t>http://bychanchi.blogspot.com</t>
  </si>
  <si>
    <t>DIEGO DE LA VEGA</t>
  </si>
  <si>
    <t>Hoy por fin veremos si el Vasco @Santi_ABASCAL es más diablo que #Hitler ! O por el contrario es la reencarnación de Rodrigo Díaz de Vivar, el #CiD ! Desde luego no ha dejado indiferente a nadie! Atentos a @elprogramadear</t>
  </si>
  <si>
    <t>en la LIBERTAD</t>
  </si>
  <si>
    <t>La lealtad es mi bandera, mi corazón el timón que me guía. Pago la factura de ser libre. De sangre vasco, venezolano de corazón, muero por cada rincón de España</t>
  </si>
  <si>
    <t>#Andalucia Nos dice Rasputín #Iglesias que hay que tener cuidado con la extrema derecha! @CiudadanosCs @PPopular y @vox_es, y a @Santi_ABASCAL poco más y me manda descuartizar! Lo más curioso es ver cómo sus #periodistas afines lo defienden y lo santifican !</t>
  </si>
  <si>
    <t>https://pbs.twimg.com/media/Dtobl8IW0AAf6jK.jpg</t>
  </si>
  <si>
    <t>falcata</t>
  </si>
  <si>
    <t>Igual quienes son de extrema, "extrema-extrema" crueldad, son los que pintaron los caballos del padre de @Santi_ABASCAL @vox_es</t>
  </si>
  <si>
    <t>https://pbs.twimg.com/media/DtocxbPW0AAfz96.jpg</t>
  </si>
  <si>
    <t>Valencià i espanyol</t>
  </si>
  <si>
    <t>Patri 🎗</t>
  </si>
  <si>
    <t>Cómo darás de grima @Santi_ABASCAL que ni Riverita te quiere para mandar 🤣🤣🤣. Pero tú sigue viajando por el mundo😋 no regreses nunca jamás porfis</t>
  </si>
  <si>
    <t>Más comentados ahora en Derecha/Centro Dcha.: ➀ @Santi_ABASCAL ↑ ➁ @sanchezcastejon ↑↑ ➂ @vox_es ↑↑ ➃ @ahorapodemos ↑ ➄ @juanchoex ↓ ➅ @ivanedlm ↑ ➆ @susanadiaz ↑↑↑ ➇ @PPopular ↓ ➈ @javiernegre10 ↓ ➉ @ldpsincomplejos ↓</t>
  </si>
  <si>
    <t>Amalia Blanco</t>
  </si>
  <si>
    <t>Reconozco no saber casi nada sobre @Vox y esta entrevista a @Santi_ABASCAL de @PedroCuartango me parece una buena forma de saber un poco más  vía @ABCespana</t>
  </si>
  <si>
    <t>https://www.abc.es/espana/abci-santiago-abascal-sanchez-no-dura-minuto-moncloa-si-adelanta-elecciones-201812042205_noticia.html#ns_campaign=rrss-inducido&amp;ns_mchannel=abc-es&amp;ns_source=tw&amp;ns_linkname=noticia-video&amp;ns_fee=0</t>
  </si>
  <si>
    <t>Aranda, Denia, Madrid, Europa</t>
  </si>
  <si>
    <t>#Cine, #acontracorriente, viajes con @mimundotravel2 , orgullosa de trabajar en @bankia y de ser del Atléti y de @los50Atleti.</t>
  </si>
  <si>
    <t>Más influyentes ahora en Derecha/Centro Dcha.: ➀ @Santi_ABASCAL ↑ ➁ @juanchoex ↓ ➂ @ivanedlm ↑ ➃ @ldpsincomplejos ↓ ➄ @javiernegre10 ↓ ➅ @Nanchinho ↓ ➆ @Miotroyo2parte ↓ ➇ @libertaddigital ↑ ➈ @ElCascabelTRECE ↓</t>
  </si>
  <si>
    <t>Planchet77</t>
  </si>
  <si>
    <t>Y van a venir a "acojonar" a @Santi_ABASCAL...y a #Vox .Pues van preparados los rojos éstos ,que no dan un palo al agua. Similitudes con los terroristas sí que tienen.</t>
  </si>
  <si>
    <t>Si el discurso de Pablito lo hace @Santi_ABASCAL pedir después de unas elecciones democráticas salir a la calle a sus votantes,al día siguiente le ilegalizan su partido político.</t>
  </si>
  <si>
    <t>FFCCSSE🇪🇸</t>
  </si>
  <si>
    <t>Cuidado con querer dar lecciones a @Santi_ABASCAL porque lo mismo cierra la bocaza a más de uno. Ojo al artículo 👇</t>
  </si>
  <si>
    <t>https://www.cope.es/actualidad/espana/amp/noticias/abascal-pim-pam-pum-dia-que-lider-vox-fue-golpeado-escupido-por-batasunos-20181204_304935?__twitter_impression=true</t>
  </si>
  <si>
    <t>#FFCCSSE🇪🇸 #EQUIPARACIONYA🇪🇸 •VOX.🇪🇸 Siempre en defensa de #LaEspañaViva</t>
  </si>
  <si>
    <t>Más comentados ahora en Derecha/Centro Dcha.: ➀ @Santi_ABASCAL ↓ ➁ @sanchezcastejon ↓ ➂ @ahorapodemos ↑ ➃ @Miotroyo2parte ↑ ➄ @vox_es ↑ ➅ @ivanedlm ↓ ➆ @libertaddigital ↓ ➇ @josepramonbosch ↑ ➈ @juanchoex</t>
  </si>
  <si>
    <t>Más influyentes ahora en Derecha/Centro Dcha.: ➀ @Santi_ABASCAL ↓ ➁ @Miotroyo2parte ↑ ➂ @ivanedlm ↓ ➃ @libertaddigital ↓ ➄ @josepramonbosch ↓ ➅ @juanchoex ➆ @ldpsincomplejos ↓ ➇ @Nanchinho ➈ @Lamismamente ↓</t>
  </si>
  <si>
    <t>MARCH25PERU</t>
  </si>
  <si>
    <t>Partido Político VOX, pro Familia, Vida y España avanza... @GabyPac54589881 @Santi_ABASCAL @jorgevillenal @JBCPERU @joseantoniokast @LasParejasR @realDonaldTrump @MLP_officiel @matteosalvinimi @PadreLGaspar @luissolarif @carloswaite @carlospoloperu @TubinoCarlos RT @anarosaq: Mañana en @elprogramadear la primera entrevista en televisión de @Santi_ABASCAL . Son muchas las preguntas para el lider de @vox_es . La sorpresa en la política española.</t>
  </si>
  <si>
    <t>Voto Católico-Cristiano solo para Candidatos Pro Vida-Familia para defender la Vida y abolir el Aborto.</t>
  </si>
  <si>
    <t>Winston Smith</t>
  </si>
  <si>
    <t>Que grande @Santi_ABASCAL de #VoxEspaña Desde Ecuador, donde aunque no lo parezca, también hay hegemonía progre de ultraizquierda, celebro el inicio del despertar del pueblo español. RT @clubdeviernes: .@vox_es es el único partido que da la batalla ideológica frente al rodillo de la hegemonía progre, representada fundamentalmente en las totalitarias leyes de desmemoria historica y de ideología de género La gente está harta de mamarrachadas progres</t>
  </si>
  <si>
    <t>https://twitter.com/clubdeviernes/status/1069666199439663106</t>
  </si>
  <si>
    <t>https://pbs.twimg.com/media/DtfN4CcU4AA321N.jpg</t>
  </si>
  <si>
    <t>Ciudadano perseguido por la SENAIN y la Policía del Pensamiento. Tercera cuenta de TW. NO ME CALLO. #LIBERTAD / #RESISTENCIA</t>
  </si>
  <si>
    <t>Buen documento de los inicios políticos de @Santi_ABASCAL Entiendo y comparto su lucha política y democrática por una España mejor, unida y fuerte. Sus comienzos son los de un valiente, y ha forjado @vox_es desde esa valentía y la necesidad que tiene 🇪🇦 de soluciones reales #Vox</t>
  </si>
  <si>
    <t>pic.twitter.com/7jBd9MgbQi</t>
  </si>
  <si>
    <t>Seriozha</t>
  </si>
  <si>
    <t>Poor Juan</t>
  </si>
  <si>
    <t>El vivere pericoloso es muy interesante, pero no es nada agradable</t>
  </si>
  <si>
    <t>Más comentados ahora en Derecha/Centro Dcha.: ➀ @Santi_ABASCAL ↑ ➁ @ivanedlm ↑ ➂ @Miotroyo2parte ↑ ➃ @vox_es ↓ ➄ @ahorapodemos ↓ ➅ @PPopular ↑ ➆ @Lamismamente ↑ ➇ @ElCascabelTRECE ➈ @ldpsincomplejos ↑ ➉ @juanchoex ↑</t>
  </si>
  <si>
    <t>Más influyentes ahora en Derecha/Centro Dcha.: ➀ @Santi_ABASCAL ↑ ➁ @ivanedlm ↑ ➂ @Miotroyo2parte ↑ ➃ @ElCascabelTRECE ↑ ➄ @ldpsincomplejos ↑ ➅ @juanchoex ↑ ➆ @Lamismamente ↑ ➇ @javiernegre10 ↓ ➈ @hermanntertsch ↑</t>
  </si>
  <si>
    <t>E7ERNOJUANI7O</t>
  </si>
  <si>
    <t>Más que "La sorpresa de la política Española", @Santi_ABASCAL y su partido @vox_es son "La esperanza Española". RT @anarosaq: Mañana en @elprogramadear la primera entrevista en televisión de @Santi_ABASCAL . Son muchas las preguntas para el lider de @vox_es . La sorpresa en la política española.</t>
  </si>
  <si>
    <t>Madridista, Catalán (Tarragona) pero ante todo ESPAÑOL. Larga vida al Ejército Español, Guardia Civil y Policía Nacional. Gloria eterna a los caídos por ESPAÑA.</t>
  </si>
  <si>
    <t>Mientras más acusen a VOX con falsas etiquetas más crecerá. Así que se preparen para tener a Santiago Abascal como el próximo presidente de España. @monasterioR @Santi_ABASCAL @FJL_EsRadio @Ortega_Smith VOX es la solución para tener una España viva y unida sin corrupción</t>
  </si>
  <si>
    <t>https://pbs.twimg.com/media/Dtn0NGTV4AIk-N8.jpg</t>
  </si>
  <si>
    <t>Igor</t>
  </si>
  <si>
    <t>-¿Qué pide Santi Abascal cuando va a un kebab? +Un Vox, qué repetitivo... -Pregunta trampa, porque no habrá kebabs en las calles jajaja</t>
  </si>
  <si>
    <t>Náquera, Valencia</t>
  </si>
  <si>
    <t>Ay pajita mía guárdate la poesía, guárdate la alegría pa ti.</t>
  </si>
  <si>
    <t>http://instagram.com/zombiegor</t>
  </si>
  <si>
    <t>Paco Pepe</t>
  </si>
  <si>
    <t>La verdadera historia de @Santi_ABASCAL... RT @nostraeuropa: @COPE @Santi_ABASCAL @vox_es</t>
  </si>
  <si>
    <t>https://twitter.com/nostraeuropa/status/1070033909986050049</t>
  </si>
  <si>
    <t>pic.twitter.com/GUNqZWx6sq</t>
  </si>
  <si>
    <t>La muerte no es triste, lo triste es que la gente no sepa vivir. Pablo Ráez #DonaMédula. Boquerón.</t>
  </si>
  <si>
    <t>Más comentados ahora en Derecha/Centro Dcha.: ➀ @Santi_ABASCAL ↑ ➁ @vox_es ↓ ➂ @Miotroyo2parte ↓ ➃ @sanchezcastejon ↓↓ ➄ @ivanedlm ↓↓ ➅ @PPopular ↓ ➆ @Nanchinho ➇ @javiernegre10 ↑ ➈ @ElCascabelTRECE ↑ ➉ @PSOE ↑</t>
  </si>
  <si>
    <t>EnriqueSoria</t>
  </si>
  <si>
    <t>¿A cuanto asciende la multa por agredir a un humano, policía o no?.. Lleva razón @Santi_ABASCAL con el opulismo de Ciudadanos.</t>
  </si>
  <si>
    <t>https://www.abc.es/sociedad/abci-rioja-obligara-esterilizar-todas-mascotas-201812042011_noticia.html</t>
  </si>
  <si>
    <t>Enrique Soria</t>
  </si>
  <si>
    <t>Más influyentes ahora en Derecha/Centro Dcha.: ➀ @Santi_ABASCAL ↑ ➁ @Miotroyo2parte ↓↓ ➂ @ivanedlm ↓↓ ➃ @Nanchinho ↓ ➄ @ElCascabelTRECE ↓ ➅ @javiernegre10 ↑ ➆ @Lamismamente ↑ ➇ @Alvisepf ↑ ➈ @MariaTabarnia ↓</t>
  </si>
  <si>
    <t>¡Santiago y Cierra, España!</t>
  </si>
  <si>
    <t>Tu padre, @Santi_ABASCAL, además de gran persona, anunció esto: Lo que está haciendo @vox_es es muy difícil, pero es cuestión de tiempo que nos encontremos con el resto de los españoles. Habrá millones de españoles que en algún momento, y no muy lejano, estén con nosotros #VOX</t>
  </si>
  <si>
    <t>Tengo unas cuantas cosas claras. En algunas coincidiremos. Las demás, pueden comentarse...</t>
  </si>
  <si>
    <t>Los ataques contra VOX le darán más fuerza. Un movimiento provocado por los que pensaron que romper España sería fácil. La defensa de la patria entraña riesgos pero vale la pena luchar por lo que amamos @FJL_EsRadio @Ortega_Smith @Santi_ABASCAL @monasterioR VIVA VOX</t>
  </si>
  <si>
    <t>https://pbs.twimg.com/media/DtnrElnVAAAdG3n.jpg</t>
  </si>
  <si>
    <t>Perico a Fuego</t>
  </si>
  <si>
    <t>Y los españoles que se busquen la vida. El ocupa, haciendo campaña para @Santi_ABASCAL. #VOX RT @MediterraneoDGT: 🔵 ¡EXCLUSIVA! El Gobierno pagará la universidad a los estudiantes marroquíes</t>
  </si>
  <si>
    <t>https://twitter.com/MediterraneoDGT/status/1069986060304871426
https://www.mediterraneodigital.com/espana/internacional/el-gobierno-pagara-la-universidad-a-los-estudiantes-marroquies.html</t>
  </si>
  <si>
    <t>CataluÑa, EspaÑa</t>
  </si>
  <si>
    <t>CataluÑa es EspaÑa, pero España está secuestrada por poderes masónicos muy obscuros. Todo es una inmensa mentira. #rcde #Tabarnés</t>
  </si>
  <si>
    <t>Más comentados ahora en Derecha/Centro Dcha.: ➀ @Santi_ABASCAL ↓↓ ➁ @ivanedlm ↑ ➂ @libertaddigital ↓ ➃ @sanchezcastejon ↑ ➄ @Miotroyo2parte ↑ ➅ @javiernegre10 ↓ ➆ @vox_es ↑ ➇ @juanchoex ↓ ➈ @josepramonbosch ↓</t>
  </si>
  <si>
    <t>Más influyentes ahora en Derecha/Centro Dcha.: ➀ @Santi_ABASCAL ↓↓ ➁ @ivanedlm ↓↓ ➂ @libertaddigital ↓ ➃ @Miotroyo2parte ↑ ➄ @javiernegre10 ↓ ➅ @juanchoex ↓ ➆ @josepramonbosch ↓ ➇ @Lamismamente ↓↓ ➈ @ElCascabelTRECE ↓↓</t>
  </si>
  <si>
    <t>VOX Gijón</t>
  </si>
  <si>
    <t>Santiago Abascal, a Pablo Casado: la recuperación de las competencias en Educación es gracias a VOX</t>
  </si>
  <si>
    <t>https://www.libertaddigital.com/espana/politica/2018-11-27/santi-abascal-a-casado-la-recuperacion-de-las-competencias-en-educacion-es-gracias-a-vox-1276628973/</t>
  </si>
  <si>
    <t>Gijón, España</t>
  </si>
  <si>
    <t>Cuenta VOX Gijón (Asturias) 🇪🇸 Calle Saavedra 7, entresuelo P-9 (Gijón) - #VOXAvanza #SeguimosCreciendo</t>
  </si>
  <si>
    <t>J'Dok</t>
  </si>
  <si>
    <t>Gran hilo! Destacar que VOX solo es un juguete para Santi Abascal y que solo le importa hacer dinero y ha ido a lo fácil: discurso racista, discurso contra Cataluña y país Vasco, ley de memoria histórica. Aprovechando la desesperación de la clase obrera y el amparo de los ricos. RT @LekaconK: HILO IMPORTANTE. Voy a explicar algunos de los puntos del programa de VOX sacados de su propia páginas web para que no puedan negarlo. ESTO ES LO QUE HABÉIS VOTADO 👇👇</t>
  </si>
  <si>
    <t>https://twitter.com/LekaconK/status/1069941860184064000</t>
  </si>
  <si>
    <t>MC miembro del grupo Poetas En La Sombra junto a mi socio @LAROKKA4</t>
  </si>
  <si>
    <t>Miss Marieta</t>
  </si>
  <si>
    <t>¡A por Gibraltar @Santi_ABASCAL! RT @elEconomistaes: 🇬🇧 #ÚLTIMAHORA | El Gobierno británico, declarado "en desacato" por primera vez en la historia</t>
  </si>
  <si>
    <t>https://twitter.com/elEconomistaes/status/1070001572975906820
https://www.eleconomista.es/internacional/noticias/9562883/12/18/Theresa-May-se-tambalea-el-Parlamento-debate-declarar-a-su-Gobierno-en-desacato-y-quitarle-el-poder-sobre-el-Brexit.html</t>
  </si>
  <si>
    <t>https://pbs.twimg.com/media/DtloqrOWsAYfPWD.jpg</t>
  </si>
  <si>
    <t>Ordino, Andorra</t>
  </si>
  <si>
    <t>Alérgica al fascismo, Anarcoindependentista #FuckTheFascism.No eres tú, soy yo, que no te aguanto. Boletaire, catalana, políglota, siempre tengo sueño(s) ||*||</t>
  </si>
  <si>
    <t>Más comentados ahora en Derecha/Centro Dcha.: ➀ @Santi_ABASCAL ↑ ➁ @sanchezcastejon ↓ ➂ @ahorapodemos ↓ ➃ @vox_es ↓ ➄ @PSOE ↓ ➅ @ivanedlm ↓ ➆ @Miotroyo2parte ↓ ➇ @PPopular ↑ ➈ @susanadiaz ↑ ➉ @CiudadanosCs ↑</t>
  </si>
  <si>
    <t>Más influyentes ahora en Derecha/Centro Dcha.: ➀ @Santi_ABASCAL ↑ ➁ @Miotroyo2parte ↓ ➂ @ivanedlm ↑ ➃ @ElCascabelTRECE ↑ ➄ @Lamismamente ↑ ➅ @libertaddigital ↑ ➆ @ldpsincomplejos ↓ ➇ @ElAguijon_ ↓ ➈ @javiernegre10 ↓</t>
  </si>
  <si>
    <t>Dani Franco</t>
  </si>
  <si>
    <t>Mira @Pablo_Iglesias_ aquí tus amigos de ETA, esos que fueron los primeros en darse cuenta de lo mala que era la Constitución, intentando agredir a @Santi_ABASCAL me imagino que al igual que tú salían a defender la democracia y la libertad...</t>
  </si>
  <si>
    <t>pic.twitter.com/GN8cWFlNAG</t>
  </si>
  <si>
    <t>From Madrid to Miami. Producer in beIN Sports, MotorSports.</t>
  </si>
  <si>
    <t>Woojajjxdd</t>
  </si>
  <si>
    <t>Propuesta de @Santi_ABASCAL para recuperar Gibraltar: Reclutar a todos los monos para que se unan a su causa</t>
  </si>
  <si>
    <t>https://pbs.twimg.com/media/DtnUOnYWoAEh9Mg.jpg</t>
  </si>
  <si>
    <t>Buscando mi gracia</t>
  </si>
  <si>
    <t>Soyuz nerushimi respublik svobodnij</t>
  </si>
  <si>
    <t>Américo Faúndez</t>
  </si>
  <si>
    <t>GRANDE @Santi_ABASCAL UN ABRAZO... DESDE 🇨🇱</t>
  </si>
  <si>
    <t>Welcome to Official twitter page|Locutor(ex-C13)¿Mí punto de vista? la Realidad con Humor y Sarcasmo, eso sí, me siguen lo mejor, lo mejor de Twitter|¡Visitame!</t>
  </si>
  <si>
    <t>Emiliano García</t>
  </si>
  <si>
    <t>Nuevamente @t13 tratando de “extremistas” a quienes no son de izquierda; esta vez, a @Santi_ABASCAL. Son una verdadera vergüenza.</t>
  </si>
  <si>
    <t>La Pintana, Chile</t>
  </si>
  <si>
    <t>Pintanino, gremialista, colocolino y rockero. 🇨🇱</t>
  </si>
  <si>
    <t>Worldwiderable@theCaribbean</t>
  </si>
  <si>
    <t>Leo e investigo sobre @vox_es @voxnoticias_es y tanto @Santi_ABASCAL como @Ortega_Smith no son unos piernas. Esperanzado de que España tiene futuro más allá de @CiudadanosCs y el @PPopular que a día de hoy siguen con imputados y juicios</t>
  </si>
  <si>
    <t>Miami, US / Los Angeles,US</t>
  </si>
  <si>
    <t>Padre de Javier y de Ana. Ciudadano del mundo! Taurino! Orgulloso de ser muy Español y de haber nacido en Valencia. Entre Miami y Los Ángeles.</t>
  </si>
  <si>
    <t>J C Pérez Toribio</t>
  </si>
  <si>
    <t>Qué paradójico es todo: la izquierda española con sus acciones está fabricando al próximo presidente de derecha @Santi_ABASCAL</t>
  </si>
  <si>
    <t>Puerto de la Cruz</t>
  </si>
  <si>
    <t>Prof. USB. Después de 15.000 horas de vuelo, uno se vuelve suspicaz, cínico, pero sobre todo humilde. Dooley: Island in the Sky (1953)</t>
  </si>
  <si>
    <t>http://www.diariosdelaincertidumbre.com</t>
  </si>
  <si>
    <t>Fernando Castro</t>
  </si>
  <si>
    <t>Santi Abascal presentará las campanadas en 13TV</t>
  </si>
  <si>
    <t>¡¡¡Que los medios de comunicación atiéndan a un “bicharraco ” como este, que solo quiere el enfrentamiento entre españoles, e ignoren y desprestigien a Vox y al pedazo equipo de @Santi_ABASCAL, que quieren una #España en paz administrada con sensatez, resulta #INCREÍBLE!!! RT @abc_es: Iglesias eleva la tensión contra Vox: «Estoy orgulloso de los que no quieren que los fachas vuelvan»</t>
  </si>
  <si>
    <t>https://twitter.com/abc_es/status/1069968316113006595
http://ver.abc.es/kggwd2</t>
  </si>
  <si>
    <t>VOX Sarrià-Sant Gervasi</t>
  </si>
  <si>
    <t>📺 Este miércoles @elprogramadear de @telecincoes entrevistará en directo a @Santi_ABASCAL por primera vez para analizar los resultados electorales de Andalucía. ¡No te lo pierdas! 🇪🇸💪</t>
  </si>
  <si>
    <t>https://pbs.twimg.com/media/DtnB3bJXgAAK4TL.jpg</t>
  </si>
  <si>
    <t>Cuenta oficial de VOX Sarrià-Sant Gervasi /Barcelona #EspañaLoPrimero Suscríbete a nuestro canal de You Tube http://bit.ly/VOXYouTube</t>
  </si>
  <si>
    <t>El Dandy Sureño</t>
  </si>
  <si>
    <t>Cuando @Pablo_Iglesias_ todavía se zurraba la sardina con el canal plus codificado, @Santi_ABASCAL ya aguantaba amenazas de los etarras. Si se cree el coletas que lo va a amedrentar mandando a cuatro porretas a quemar contenedores, la lleva clara.</t>
  </si>
  <si>
    <t>«La verdad jamás daña a una causa que es justa.»</t>
  </si>
  <si>
    <t>Más comentados ahora en Derecha/Centro Dcha.: ➀ @Santi_ABASCAL ↓ ➁ @sanchezcastejon ↑ ➂ @vox_es ↑ ➃ @ahorapodemos ↓ ➄ @ElCascabelTRECE ↓ ➅ @PPopular ↓ ➆ @PSOE ↑ ➇ @susanadiaz ↑ ➈ @Miotroyo2parte ↓ ➉ @Nanchinho ↑</t>
  </si>
  <si>
    <t>Más influyentes ahora en Derecha/Centro Dcha.: ➀ @Santi_ABASCAL ↓ ➁ @ElCascabelTRECE ↓ ➂ @Miotroyo2parte ↓ ➃ @Nanchinho ↑ ➄ @Alvisepf ↓ ➅ @ivanedlm ↑ ➆ @ldpsincomplejos ↓ ➇ @juanchoex ↑ ➈ @josepramonbosch ↑</t>
  </si>
  <si>
    <t>marrullero</t>
  </si>
  <si>
    <t>Pues @santi_ABASCAL tiene toda la cara de practicar la hipoxifilia FUERTECITO</t>
  </si>
  <si>
    <t>En el límite del humor</t>
  </si>
  <si>
    <t>@iberia arruina vacaciones, hilo enlazado #PesadillasConIberia 'Viajar te da el superpoder de cagar en cualquier lado A GUSTO' A partir de aquí TODO es HUMOR</t>
  </si>
  <si>
    <t>https://twitter.com/marrullero/status/750752498118524928</t>
  </si>
  <si>
    <t>Por sus obras conoceréis a Pablo Iglesias. RT @elmundoes: Dos detenidos en la manifestación "antifascista" de Cádiz contra Vox</t>
  </si>
  <si>
    <t>https://twitter.com/elmundoes/status/1070086266971148289
https://trib.al/WINa6zG</t>
  </si>
  <si>
    <t>Iván DM</t>
  </si>
  <si>
    <t>El duro editorial de 'Le Monde' que no gustará ni a Casado ni a Rivera: "Es peligroso" @pablocasado_ @Albert_Rivera @Santi_ABASCAL @CiudadanosCs @PPopular @vox_es @podridopopular @lemondefr @NoSoyCiudadanos #fascismo #fascismo #ultraderecha #FarRight</t>
  </si>
  <si>
    <t>https://www.huffingtonpost.es/2018/12/04/el-duro-editorial-de-le-monde-que-no-gustara-ni-a-casado-ni-a-rivera-es-peligroso_a_23608193/?ncid=other_twitter_cooo9wqtham&amp;utm_campaign=share_twitter</t>
  </si>
  <si>
    <t>Madrid, España.</t>
  </si>
  <si>
    <t>De izquierdas. Harto de lo políticamente correcto. I ❤ Cine, música, lengua española, ciencia. Afectado por la hipoteca #IRPH La contradicción es mi equilibrio.</t>
  </si>
  <si>
    <t>Reportero Andalú</t>
  </si>
  <si>
    <t>Ohú, tu verá! Va a entrá a caballo @Santi_ABASCAL ?? Como pavía en er congreso... no hay cohone! RT @vox_es: 📺 Este miércoles @elprogramadear de @telecincoes entrevistará en directo a @Santi_ABASCAL por primera vez para analizar los resultados electorales de Andalucía. ¡No te lo pierdas! 🇪🇸💪</t>
  </si>
  <si>
    <t>https://twitter.com/vox_es/status/1070099552861085696</t>
  </si>
  <si>
    <t>Andalusia</t>
  </si>
  <si>
    <t>Reportero de guerra en Andalusía. Informando der gorpe de estado fahsihta der 2 de disiembre. A la hora de la siehta no informo.</t>
  </si>
  <si>
    <t>http://mediterranodigital.es</t>
  </si>
  <si>
    <t>Esto es intolerable , gracias a las llamadas de podemos vemos este desastre @vox_es @Santi_ABASCAL @Ortega_Smith</t>
  </si>
  <si>
    <t>https://m.diariodecadiz.es/cadiz/Graves-incidentes-Cadiz-manifestacion-electorales_0_1306369863.amp.html</t>
  </si>
  <si>
    <t>Tercio Nacional 🇪🇸</t>
  </si>
  <si>
    <t>Preparaos para mañana. @vox_es @Santi_ABASCAL @Alternativa_VOX @voxjovenes @monasterioR @Igarrigavaz @Ortega_Smith @voxnoticias_es RT @electo_mania: Mañana a partir de las 10:00, el #ElectoPanel de intención de voto para generales. Auténtico vuelco político en España. Un dato: Vox superaría las dos decenas de diputados. PP y PSOE juntos bajan del 50% de los votos. Más info mañana en</t>
  </si>
  <si>
    <t>https://twitter.com/electo_mania/status/1070097890134114304
http://electomania.es</t>
  </si>
  <si>
    <t>https://pbs.twimg.com/media/DtnAWv5WwAA1zZ0.jpg</t>
  </si>
  <si>
    <t>Madrileño. 🇪🇸. 🇪🇺. Æ. Política y actualidad. #Followback Firma: TN🇪🇸|Æ.</t>
  </si>
  <si>
    <t>ILEGALIZACION DE LOS COMUNISTAS!!! IGUAL TRATAMIENTO QUE AL NAZISMO #EXISTEN #UNGAUNGAARMY #CUSTODIACOMPARTIDA #NOALINDULTO @VOX_ES @SANTI_ABASCAL @ALBERT_RIVERA @PABLOCASADO_ @PARTIDO_ESP_DES @IGUALDADREAL_ES ¡Firma la petición!  vía @change_es</t>
  </si>
  <si>
    <t>http://chng.it/R49WcwhN</t>
  </si>
  <si>
    <t>Me encanta veros echar las bilis jajajajajajaj. VIVA @vox_es @Santi_ABASCAL y la madre que lo parió. De que felicitara Maduro a la 💩podemita ni hablamos. VOMITAAAAAA 🤣🤣🤣 RT @julia_otero: El antiguo líder del Ku Klux Klan felicita a Vox: "La Reconquista empieza en Andalucía"  vía @eldiarioes</t>
  </si>
  <si>
    <t>https://twitter.com/julia_otero/status/1069932115947675648
https://www.eldiario.es/_323bbcac</t>
  </si>
  <si>
    <t>Augustus</t>
  </si>
  <si>
    <t>Año 2003. @Santi_ABASCAL es elegido CONCEJAL de Laudio (Álava) y es increpado por proetarras y mugrosos. La izquierda abertzale decidieró okupar el consistorio. Solo 3 concejales se atrevieron a pasar. Abascal entre ellos. Mis respetos, presidente. 🇪🇸🐸</t>
  </si>
  <si>
    <t>https://www.youtube.com/watch?v=S8_g6JS2z24</t>
  </si>
  <si>
    <t>Pater Patriae</t>
  </si>
  <si>
    <t>https://lacedemoniablog.wordpress.com/</t>
  </si>
  <si>
    <t>Cesar Gallego Cipres</t>
  </si>
  <si>
    <t>Buenas noches d. @Santi_ABASCAL ha pensado usted en incorporar a @vox_es a una expolitica como @rosadiezglez ? Sería una buena incorporación por los valores e ideas que transmite y sostiene. Conmigo se ha ganado otro voto más desde hace tiempo...</t>
  </si>
  <si>
    <t>Este individuo es perfectamente imputable y lo sabeis @Santi_ABASCAL, ante todos los españoles ha llamado a la violencia ¿a que esperais para denunciarle? Pruebas.. Todas. Delito de odio. RT @magdugui: A este tipejo hay que pedirle responsabilidades políticas y judiciales y exigirle daños y perjuicios. Tiene de demócrata lo que yo de monja de clausura. Patetico y muy mal perdedor👇👇</t>
  </si>
  <si>
    <t>https://twitter.com/magdugui/status/1070088751135768577
https://twitter.com/politica_la/status/1070059643286757376</t>
  </si>
  <si>
    <t>El Cid Volador</t>
  </si>
  <si>
    <t>Aquí una "informá" que llama a Santi Abascal "filoterrorista". Como dijo aquel que ya sabemos "Perdónalos, porque no saben lo que hacen". Manda 🥚🥚 RT @penolopeenmadri: @protestona1 Es que @pablocasado_ es tan fascista como los de @Vox de hecho la liderasa de la corrupción @EsperanzAguirre es la madre putativa del filo terrorista de @santi_abascal y de Pablito, al que le compro los titulos y al pistolero le subvenciono y pago sueldos superiores a 80.000€</t>
  </si>
  <si>
    <t>https://twitter.com/penolopeenmadri/status/1070067565387501568</t>
  </si>
  <si>
    <t>https://pbs.twimg.com/media/DtmkxiRWsAYt_M2.jpg</t>
  </si>
  <si>
    <t>En la web</t>
  </si>
  <si>
    <t>Azote de los ceporros, huracán de los cretinos. La vara rebosa. Muuuuuucho. @elcidvolador en http://gab.ai</t>
  </si>
  <si>
    <t>Hoy España es muy ilógica: en junio nombran a un "presidente" no votado, que llega al poder gracias a socios de dudosa reputación, pero no hay marchas ni agresiones verbales. En Andalucía votan por @vox_es @Santi_ABASCAL y los tildan de ilegales, fascistas, el anticristo y más... RT @javiernegre10: Ayer pedí en @yaesmediodiatv en @telecincoes que se dejase de insultar a @Santi_ABASCAL y a los votantes de @vox_es . Si entendemos que @ahorapodemos no es ultraizquierda, ellos no son ultraderecha. Y léanse su programa antes de adjetivar.Atentos a la respuesta de @LaFallaras</t>
  </si>
  <si>
    <t>https://twitter.com/javiernegre10/status/1069908354686947328</t>
  </si>
  <si>
    <t>pic.twitter.com/byjpUK3KTq</t>
  </si>
  <si>
    <t>En el momento en que el capo de la #OrganizaciónCriminal @ahorapodemos totalmente desencajado, llamó a la alerta antifascista contra #VOX Santi Abascal ganó cientos de miles de votos más.</t>
  </si>
  <si>
    <t>AMARO84</t>
  </si>
  <si>
    <t>Tenéis claro si pretendéis amendrentar a @Santi_ABASCAL este tío tiene un par de huevos de serie. Prefiero estar del lado de las victimas que del lado de los terroristas con los que pacta el @PSOE y @U_Podemos y en cuyas manos llenas de sangre se sostienen sus líderes. RT @nostraeuropa: Santiago Abascal, vasco, de Amurrio (Álava🇪🇸). Amenazado de muerte por ETA desde joven, con escolta desde que iba a la Universidad. Él y su familia han sufrido amenazas y actos violentos. ¡NUNCA DIÓ UN PASO ATRÁS FRENTE A LOS VIOLENTOS! ¿PENSÁIS QUE LO VA A HACER AHORA? No.</t>
  </si>
  <si>
    <t>https://twitter.com/nostraeuropa/status/1070005393961697281</t>
  </si>
  <si>
    <t>pic.twitter.com/6gxNhnyUMw</t>
  </si>
  <si>
    <t>Cuidao la que habla de odio y respeto después de lo que está provocando en las calles. Valiente MAMARRACHA. Seguid así que estáis cavando vuestra propia tumba 😂😂😂 Viva @vox_es @Santi_ABASCAL @FSerranoCastro !!! Y ¡¡VIVA ESPAÑA¡¡🇪🇸🇪🇸🇪🇸🇪🇸🇪🇸🇪🇸🇪🇸🇪🇸🇪🇸🇪🇸🇪🇸. Venga, dime facha 🏅😘 RT @TeresaRodr_: Almería, Córdoba, Granada o Algeciras: algunos ejemplos de la respuesta ciudadana que sigue hoy como rechazo a quienes promueven el odio al diferente. La Andalucía que abraza, que lucha por la igualdad y que respeta la diversidad prevalecerá. #FrenarElFascismo</t>
  </si>
  <si>
    <t>https://twitter.com/TeresaRodr_/status/1070076552392650752</t>
  </si>
  <si>
    <t>https://pbs.twimg.com/media/DtmsqnOXgAUh-ku.jpg</t>
  </si>
  <si>
    <t>Jose O.P.</t>
  </si>
  <si>
    <t>Señor @Santi_ABASCAL y andaluces simpatizantes de @vox #vox no he visto ninguna bandera verdiblanca en ningún mitin, así no se reconquista mi tierra. Primero deberíais conocerla. Ya que os importa poco nuestra bandera os dejo una foto para que la conozcáis. #Abascal</t>
  </si>
  <si>
    <t>https://pbs.twimg.com/media/Dtm9KZuXcAAcOQy.jpg</t>
  </si>
  <si>
    <t>Amante de mi tierra Andalucía,la Semana Santa, su música y del Betis. Andaluz y casado con una extremeña.</t>
  </si>
  <si>
    <t>Muy fan de esta mujer. @Santi_ABASCAL RT @ivanedlm: Enorme intervención de ⁦@IdiazAyuso⁩. Enorme!</t>
  </si>
  <si>
    <t>https://twitter.com/ivanedlm/status/1069953773819363328</t>
  </si>
  <si>
    <t>pic.twitter.com/MBqQwgWZHw</t>
  </si>
  <si>
    <t>Pablo D a r k o</t>
  </si>
  <si>
    <t>Santi Abascal. Pulseritas de España arriba! RT @mecagoenfrodo: Que FACHITA eres segun tu mes de nacimiento: Ene: tipical cuñadus Feb: taurinx Mar: Santi Abascal Abril: jornalerx que vota PP Mayo: vota C's Jun: J.M. Aznar Jul: falangista Ago: viste "españolo" Sep: Alvaro Ojeda Oct: franquista Nov: vota a vox Dic: Pablo casado</t>
  </si>
  <si>
    <t>https://twitter.com/mecagoenfrodo/status/1070070181739880449</t>
  </si>
  <si>
    <t>Futuro Gestor del Patrimonio Cultural y museólogo (Estudiante del MARPH). Humanista, logro desbloqueado ©. Fatum Fatis ego perea #AHFOD #MSDL</t>
  </si>
  <si>
    <t>quebarbaridadJl</t>
  </si>
  <si>
    <t>"@Santi_ABASCAL empezó culpando de todo a ETA" Que se puede decir de una persona así. Ahh, pero no olvidarse, el fascista es Abascal. RT @NinaQueral: Abascal empezó su carrera política culpando de todo a ETA, ahora la continua diciendo q el independentismo cat es ETA #VoxAbascalTV3</t>
  </si>
  <si>
    <t>https://twitter.com/NinaQueral/status/1070069845536985088</t>
  </si>
  <si>
    <t>Uno de los más burros de mi generación, por mi ortografía me reconocerá. No se nada pero opino de de todo.</t>
  </si>
  <si>
    <t>Michel L</t>
  </si>
  <si>
    <t>Intentando desprestigiar a @Santi_ABASCAL no habéis podido demostrar nada. Dedicad reportajes sobre corrupción a los Pujol y CDC, ahora llamada PdeCAT #VoxAbascalTV3 @tv3cat @euskaltelebista</t>
  </si>
  <si>
    <t>https://pbs.twimg.com/media/Dtm8HeVW0AAlRM6.jpg</t>
  </si>
  <si>
    <t>"@sanchezcastejon huye hacia adelante: hace del miedo a Vox su nueva razón de ser pero elogia a @Santi_ABASCAL" Pedrito ¿Quien dice que @vox_es es antieuropeo?  Pero cuanto más hables Pedro, más #VOXAvanza</t>
  </si>
  <si>
    <t>https://www.elespanol.com/espana/20181204/sanchez-adelante-miedo-vox-razon-elogia-abascal/358215525_0.html</t>
  </si>
  <si>
    <t>CanBarça10</t>
  </si>
  <si>
    <t>Lecciones las justas, @gabrielrufian . La grandeza moral de @Santi_ABASCAL solo revela la bajeza moral de la que estáis hechos algunos que estáis jugando a ser políticos. Golpista RT @COPE: "@Santi_ABASCAL Pim, Pam, Pum": el día que el líder de @Vox_es, amenazado tanto él como su familia por ETA, fue golpeado y escupido por batasunos</t>
  </si>
  <si>
    <t>https://twitter.com/COPE/status/1070016631009632261
http://ww.cope.es/u1iun1</t>
  </si>
  <si>
    <t>Militante del partido Can Barça. ✌🔴Visca Barça🔵✌</t>
  </si>
  <si>
    <t>Dos detenidos, quema de contenedores y agresiones a periodistas en la manifestación "antifascista" de Cádiz convocada por Podemos contra Vox. @Santi_ABASCAL @monasterioR @Ortega_Smith Hay que sentar en el banquillo a Pablo Iglesias.</t>
  </si>
  <si>
    <t>https://www.elmundo.es/andalucia/2018/12/04/5c0701e5fc6c83a34e8b461b.html</t>
  </si>
  <si>
    <t>Hace casi 20 años algunos ya llamaban #FrenalElFascismo a atacar a @Santi_ABASCAL. Santiago Abascal. Cuando era un estudiante en el corredor de la muerte.  vía @YouTube</t>
  </si>
  <si>
    <t>http://youtu.be/oIMxo0mWe0Q</t>
  </si>
  <si>
    <t>Iñaki Piñuel</t>
  </si>
  <si>
    <t>Estupenda entrevista de @javiernegre10 a @Santi_ABASCAL de @vox RT @javiernegre10: Mi entrevista a @Santi_ABASCAL de @vox_es . Hace tres años estaba solo en un banco de Sevilla. El domingo le siguieron 400.000 andaluces. “Vamos a ganar las europeas/ Si llego a Moncloa no veréis a Salvini. Veréis a Santiago Abascal”.</t>
  </si>
  <si>
    <t>https://twitter.com/javiernegre10/status/1069897147246612480
https://www.elmundo.es/espana/2018/12/04/5c05a02afc6c8386738b46d0.html</t>
  </si>
  <si>
    <t>Doctor en Psicología, Psicoterapeuta experto en acoso, escritor, profesor Universidad. INSTITUTO IÑAKI PIÑUEL(Madrid-Mexico) dr@inakipinuel.com CUENTA OFICIAL.</t>
  </si>
  <si>
    <t>http://www.inakipinuel.com</t>
  </si>
  <si>
    <t>Monsieur Guarrinager</t>
  </si>
  <si>
    <t>Aquí tenéis a @Santi_ABASCAL, Muchos de los que le critican como fascista no podrían aguantar todo esto.</t>
  </si>
  <si>
    <t>pic.twitter.com/WkxXYxPuR3</t>
  </si>
  <si>
    <t>Liberal convencido. Hablo claro y bloqueo si me tocas los huevos.</t>
  </si>
  <si>
    <t>TB</t>
  </si>
  <si>
    <t>Currículum Vitae de @Santi_ABASCAL  vía @maldita_es</t>
  </si>
  <si>
    <t>Hacer tartas no es lo mío. Playa o montaña. Todo tiene su encanto. Buscando Utopia. Argumentos y emociones.</t>
  </si>
  <si>
    <t>Más comentados ahora en Derecha/Centro Dcha.: ➀ @Santi_ABASCAL ↑ ➁ @ahorapodemos ↑ ➂ @sanchezcastejon ↑ ➃ @ElCascabelTRECE ↑ ➄ @vox_es ↑ ➅ @Miotroyo2parte ↑ ➆ @PSOE ↓ ➇ @susanadiaz ↓ ➈ @Alvisepf ↑ ➉ @PPopular ↑</t>
  </si>
  <si>
    <t>J_F_Castillo</t>
  </si>
  <si>
    <t>El principal problema de Andalucia es Cataluña, como ya nos ha dicho Santi Abascal y el de Cataluña es Andalucia, como ya nos está demostrando el señor Joan Jordana. RT @jordana_joan: Aquí es veu com es gasten els diners a Andalusia aixo es Malaga aquest any amb un tasa de atur de mes del 25 % . Una vergonya nosaltres treballem paguem impostos perque una bon part vaigui a qui i ho malbaratant amb aixo.</t>
  </si>
  <si>
    <t>https://twitter.com/jordana_joan/status/1069314903847129088</t>
  </si>
  <si>
    <t>pic.twitter.com/mScv90tSv5</t>
  </si>
  <si>
    <t>Si te tomas Twitter en serio ni te molestes en seguirme, soy lo más parecido a un urólogo que podrás encontrar por aquí.</t>
  </si>
  <si>
    <t>Más influyentes ahora en Derecha/Centro Dcha.: ➀ @Santi_ABASCAL ↑ ➁ @ElCascabelTRECE ↑ ➂ @Miotroyo2parte ↑ ➃ @Alvisepf ↑ ➄ @ldpsincomplejos ↓ ➅ @Nanchinho ↑↑↑ ➆ @libertaddigital ↑ ➇ @Lamismamente ↑ ➈ @josepramonbosch ↑</t>
  </si>
  <si>
    <t>Siguen engañado al pueblo , dale que dale No aceptan la derrota @vox_es @Santi_ABASCAL @Ortega_Smith RT @psoedeandalucia: 🎭 Hablemos de la verdadera cara de @vox_es #ultraderecha ▶️ Quieren eliminar la ley de violencia de género: "Yihadismo de género" ▶️ Se dan vivas a Franco en sus mítines ▶️ Xenófobos felicitados por el Ku Klux Klan (no es broma, ojalá lo fuera) 📹 Mira este vídeo ⤵️</t>
  </si>
  <si>
    <t>https://twitter.com/psoedeandalucia/status/1070051364087189504</t>
  </si>
  <si>
    <t>pic.twitter.com/N2q13bypfb</t>
  </si>
  <si>
    <t>Borja Barrios</t>
  </si>
  <si>
    <t>Un Facha más ... VIVA ESPAÑA 🇪🇸 🇪🇸🇪🇸🇪🇸@Santi_ABASCAL @vox_es con mucho orgullo de ser español</t>
  </si>
  <si>
    <t>https://pbs.twimg.com/media/Dtm5OybXgAAlxpN.jpg</t>
  </si>
  <si>
    <t>Doing dreams ! cltat. KinKongTeam 🍀dealer live! travel around the world! Professional fish!! ♥️♣️♦️♠️siempre Bustooo 🤩</t>
  </si>
  <si>
    <t>Angel Armijo</t>
  </si>
  <si>
    <t>Cada vez que sale este rumiante dando lecciones de moral más me acuerdo que Pedro Sánchez se alió con él para gobernar en España y no contento con eso, llamar anti demócrata a @Santi_ABASCAL . Increíble pero cierto. Cierto pero increíble que algunos lo apoyen o justifiquen. RT @marubimo: El socio TERRORISTA de @sanchezcastejon también pide acuerdos "antifascistas", seguramente sin percatarse que eso conllevaría la ilegalización de Bildu, entre otros. Seguramente la @fiscal_es tampoco apreciara incitación al odio y a la violencia, con lo que suelta aquí ⤵️⤵️</t>
  </si>
  <si>
    <t>https://twitter.com/marubimo/status/1069977264924884992</t>
  </si>
  <si>
    <t>pic.twitter.com/6FsIqU79q4</t>
  </si>
  <si>
    <t>Seguidor incondicional del grande de Andalucía. Opositor a la carrera fiscal.</t>
  </si>
  <si>
    <t>Javier</t>
  </si>
  <si>
    <t>La malvada Ana Rosa Quintana tratará de destruir mañana a @vox_es y a @Santi_ABASCAL. RT @anarosaq: Mañana en @elprogramadear la primera entrevista en televisión de @Santi_ABASCAL . Son muchas las preguntas para el lider de @vox_es . La sorpresa en la política española.</t>
  </si>
  <si>
    <t>Abogado. Atlético. Wargamer. Rolero. Lector. Guerrero del Twitter. http://Gab.ai: @fray_fanatic Stans Inter Ruinas.</t>
  </si>
  <si>
    <t>Para los NPC Que solo mascullan desde los 18 chupando del estado. Nazi Homofobo Machirulo Disfrutad del vídeo y a ver si tuvieses los mismos cojones/ovarios que Mr. Abascal @Santi_ABASCAL</t>
  </si>
  <si>
    <t>Мarta S. Bernis 💜 #UnaPutaFarsa</t>
  </si>
  <si>
    <t>"Quienes han conocido a @Santi_ABASCAL, no dudan de calificarlo de oportunista" @euskaltelebista #VoxAbascalTV3</t>
  </si>
  <si>
    <t>👍 Rebel·lar-se per poder viure la pròpia vida. Dona, lliure, feminista, anticapitalista i desobedient. 'O povo é quem mais ordena' 👎Pateixo SSC i NT</t>
  </si>
  <si>
    <t>La España Viva</t>
  </si>
  <si>
    <t>Me siento orgulloso de la victoria de VOX en andalucia, me siento orgulloso de todos los dias que he salido a repartir propaganda y pegar carteles con mi mujer, me siento orgulloso de haber sacado al psoe de la Junta, @Santi_ABASCAL , @monasterioR @Ortega_Smith @FSerranoCastro</t>
  </si>
  <si>
    <t>Guardia Civil.</t>
  </si>
  <si>
    <t>Eleonora Albiols Pons</t>
  </si>
  <si>
    <t>Coxones no le faltaron a @Santi_ABASCAL , ahí de concejal donde nadie tenía valor. Vean, vean</t>
  </si>
  <si>
    <t>casadacon un afrocanadiense y madre de sus 5 hijos</t>
  </si>
  <si>
    <t>🇪🇸Bea🇪🇸</t>
  </si>
  <si>
    <t>#PactoAndaluzESP @PPopular @vox_es @CiudadanosCs @pablocasado_ @Santi_ABASCAL @Albert_Rivera Todos esos personas son una fuerza ANTIEUROPEA ? Y sus socios filoetarras , secesionistas, y prochavistas ¿qué son SEÑOR SANCHEZ? No tiene medida , #España entera le aborrece RT @sanchezcastejon: Si PP y Cs se apoyan en una fuerza antieuropea como Vox para gobernar Andalucía, tendrán que explicarlo. Quienes creemos en la España de los derechos, europeísta e inclusiva, debemos movilizarnos ante los que cuestionan estos avances. #SánchezT5</t>
  </si>
  <si>
    <t>https://twitter.com/sanchezcastejon/status/1070074025131630592</t>
  </si>
  <si>
    <t>https://pbs.twimg.com/media/DtmqbvNW0AIvwkQ.jpg</t>
  </si>
  <si>
    <t>Madre , esposa y muy Española. La verdad se corrompe, no sólo con la mentira, sino con el silencio. #SoyFacha #EleccionesYa #PsoeAlCarajo</t>
  </si>
  <si>
    <t>Leo a mucha gente con el # #FrenarElFascismo y me doy cuenta de que el nivel intelectual de la gente es muy bajo, que además tienen la mente podrida. Es sorprendente ver como "adoran" al Marqués de Galapagar y compañía, pero ponen a parir a un SEÑOR como @Santi_ABASCAL Amazing</t>
  </si>
  <si>
    <t>JdeNavarra</t>
  </si>
  <si>
    <t>Mira @jordievole esto es lo que ocurre en Euskadi si no eres proetarra. Para que luego quieras dejar de sicópata a @Santi_ABASCAL por querer protegerse. RT @pablocasado_: ETA no mata pero sigue faltando libertad, los radicales campan a sus anchas. Mi rotunda condena y solidaridad. Espero que estos energúmenos sean detenidos cuanto antes y que les caiga todo el peso de la ley.</t>
  </si>
  <si>
    <t>https://twitter.com/pablocasado_/status/1070082625119895552
https://www.diariovasco.com/politica/quince-encapuchados-apalean-20181204222259-nt.html</t>
  </si>
  <si>
    <t>algún lugar</t>
  </si>
  <si>
    <t>Juan de Salisbury</t>
  </si>
  <si>
    <t>Aquí @Santi_ABASCAL enfrentándose a una horda de proetarras hace 20 años en Ayuntamiento de Llodio. Está curtido con la barbarie terrorista y el coletas y sus barricadas no le asustan</t>
  </si>
  <si>
    <t>Andalucía (España)</t>
  </si>
  <si>
    <t>Padre, #católico, de derechas, vacunado contra la izquierda política y sindical y peregrino en este mundo. Gritos contra el huracán. ن</t>
  </si>
  <si>
    <t>http://bit.ly/ygqfDD</t>
  </si>
  <si>
    <t>Qué vergüencita 💜</t>
  </si>
  <si>
    <t>-¿Cómo se dice Santiago Abascal en Inglés? +Donald Trump #EleccionesAndalucia @Santi_ABASCAL</t>
  </si>
  <si>
    <t>Tele Circo</t>
  </si>
  <si>
    <t>Máxima autoridad del memismo. CHOLA POWER 💜 Aramlogía 🧙‍♀️</t>
  </si>
  <si>
    <t>Este es @Santi_ABASCAL , veanlo y sabrán quién es. Alguien fantástico, se lo aseguro</t>
  </si>
  <si>
    <t>Unoralsex</t>
  </si>
  <si>
    <t>Más raro que Santi Abascal viendo Astral.</t>
  </si>
  <si>
    <t>Me encanta que los flanes salgan bien.</t>
  </si>
  <si>
    <t>Paula Barranco.†</t>
  </si>
  <si>
    <t>Que se acabe con la inmigración ilegal, con la subida de impuestos, leyes que crean desigualdad y no hacen efecto, que mi País no se divida. No es fascismo! Radicalismo es mandar a la gente a la calle a imponer vuestra violencia! ASCO! @Santi_ABASCAL</t>
  </si>
  <si>
    <t>Jerez de la Frontera - XerezCD</t>
  </si>
  <si>
    <t>Amante del puchero, la tauromaquia, el Rocio, la Feria y la Semana Santa. Enamorá de mi Jeré. Coleccionista de instantes. Flamenco como forma de vida ♡ - Madre.</t>
  </si>
  <si>
    <t>Héctor 🇸🇾</t>
  </si>
  <si>
    <t>Acabo de ver un artículo de cierto periódico ensalzando de forma sonrojante a Vox. Hablaban de Santi y sus acciones políticas, así como de otros representantes. Ni un detalle negativo, ni una referencia a las irregularidades de Abascal en el PP. Adivinad, ¿qué periódico era?</t>
  </si>
  <si>
    <t>Cáceres, Getafe, Budapest.</t>
  </si>
  <si>
    <t>Procrastino mejor que tú.</t>
  </si>
  <si>
    <t>Javier Jimenez</t>
  </si>
  <si>
    <t>Ha sido montarse a caballo @Santi_ABASCAL y ponerse de moda el mundo ecuestre en @canalsur Los podemitas estarán tirándose de los pelos...y los que lo criticaron también</t>
  </si>
  <si>
    <t>http://www.canalsur.es/rtva/canal-sur-television-estrena-el-9-de-diciembre-todocaballo-de-la-mano-de-juan-ramon-romero/1364513.html</t>
  </si>
  <si>
    <t>Soy mas amigo del viento que de la brisa..¡ y hay que hacer el bien deprisa, que el mal no pierde momento!</t>
  </si>
  <si>
    <t>Amb amics com aquests (ex-companys), no et calen enemics... @Santi_ABASCAL, los que eran tus compañeros dicen de ti : "Vividor", "busca vivir de la política" "VOX es su negocio" "tramposo".... "lleva pistola"... #VoxAbascalTV3</t>
  </si>
  <si>
    <t>Eddie Felson</t>
  </si>
  <si>
    <t>La película favorita de @Santi_ABASCAL es la lista de Schindler.</t>
  </si>
  <si>
    <t>Dentro de una cerveza</t>
  </si>
  <si>
    <t>Estas son mis gilipolleces, si no le gustan, tengo otras.</t>
  </si>
  <si>
    <t>Tosqui</t>
  </si>
  <si>
    <t>Publicación de Santiago Abascal, presidente de VOX, en sus historias de instagram. (Concretamente, de un archivo que denomina VOX vs PODEMOS). Jodido Santi, parece un niño de 12 añitos con twitter...</t>
  </si>
  <si>
    <t>https://pbs.twimg.com/media/Dtmx0_NXgAARVxh.jpg</t>
  </si>
  <si>
    <t>take it easy🙏</t>
  </si>
  <si>
    <t>David Duke acaba de descubrir que Santi Abascal es un tipo que podría hacer de extra del ejército de Saladino en "El Reino de los Cielos" y ya está borrando su tuit.</t>
  </si>
  <si>
    <t>Νaciu Bustieyu</t>
  </si>
  <si>
    <t>¡Que grande eres @Santi_ABASCAL! ¿Ahora las quieres eliminar para que no demuestren tu marrón? Menos mal que defendías a los españoles. 😂😂 Y la bandera que tienes detrás la puedes usar de tapadera. Pero jamás tapará tu hipocresía. ¿Los españoles? Te la pelan. RT @eldiarioes: Abascal, el político que cobró sueldos de 80.000 euros de las autonomías y pide acabar con ellas  Lo cuenta @m_pinhe</t>
  </si>
  <si>
    <t>https://twitter.com/eldiarioes/status/1070074012867461120
https://www.eldiario.es/politica/Abascal-politico-autonomias-quiere-acabar_0_842366659.html</t>
  </si>
  <si>
    <t>https://pbs.twimg.com/media/DtmgPz6WkAAWF2L.jpg</t>
  </si>
  <si>
    <t xml:space="preserve">Cumiyas, Cantabria </t>
  </si>
  <si>
    <t>Una Volldamm en un mar de Cruzcampo.</t>
  </si>
  <si>
    <t>https://www.youtube.com/channel/UCCrRkJwntIEDWJEh-spS1zw/feed</t>
  </si>
  <si>
    <t>Atención cómo actúa la gente demócrata, la gente de paz, contra los peligrosos fascistas: @Santi_ABASCAL @FSerranoCastro @Ortega_Smith @vox_es</t>
  </si>
  <si>
    <t>Better call Vox</t>
  </si>
  <si>
    <t>Por eso yo con @Santi_ABASCAL RT @Lamismamente: ¿Julio Anguita? De extrema derecha también</t>
  </si>
  <si>
    <t>Ángel Fernández</t>
  </si>
  <si>
    <t>Es que me encanta cada vez que este cantamañanas de @sanchezcastejon se equivoca... @pablocasado_ @Santi_ABASCAL</t>
  </si>
  <si>
    <t>pic.twitter.com/15VuANZWiW</t>
  </si>
  <si>
    <t>Negociaciones con proveedores y clientes. Desarrollo de negocios. Excelencia Operacional y optimización procesos Administración de pro</t>
  </si>
  <si>
    <t>Si yo fuera @Santi_ABASCAL como condición indescriptible para sentarme a negociar algo con @PPopular y con @CiudadanosCs la dimisión de este @CiudadanoVille 😉 RT @COPE: .@CiudadanoVille, secretario general de @CiudadanosCs, pide a Susana Díaz en @HerreraenCOPE que no "bloquee" un gobierno de cambio en Andalucía</t>
  </si>
  <si>
    <t>https://twitter.com/COPE/status/1069891562950275072
http://ww.cope.es/uvpan6</t>
  </si>
  <si>
    <t>✝️ Cristo Rey Espańa 🇪🇸</t>
  </si>
  <si>
    <t>Así esta dominga chupamelaminga por las calles de España de indignado por el triunfo de @vox_es @Santi_ABASCAL</t>
  </si>
  <si>
    <t>https://pbs.twimg.com/media/DtmueJmXgAEWsZO.jpg</t>
  </si>
  <si>
    <t>Marchamalo, España</t>
  </si>
  <si>
    <t>#DEFIENDELACRUZ #TRUMP2020 #SF Nací el 23F Tejero mi padrino A R R I B A E S P A Ñ A AES #2019AñosDeLaNuevaAlianza 🇪🇸 🧢🌈🌍☁️ Æ</t>
  </si>
  <si>
    <t>Buscad las diferencias...  … No podemos dejarnos amedrentar, hay que aprender mucho de personas como @Santi_ABASCAL que siempre ha defendido sus valores frente a los totalitarios (y un largo etc. de adjetivos no agradables).</t>
  </si>
  <si>
    <t>Ángel L.Esojo Garcia</t>
  </si>
  <si>
    <t>Cuando no te gustan los resultados de unas #Elecciones los democratas llaman a sus borregos a que salgan a las calles. #LaVerdaderaIzquierda @vox_es @Santi_ABASCAL @ivanedlm @monasterioR @voxjovenes @Ortega_Smith RT @NoSoyLaGente: Jajajajajaajajajajajajaja pero ¿quién ha hecho esta maravilla?</t>
  </si>
  <si>
    <t>https://twitter.com/NoSoyLaGente/status/1069859191467200512</t>
  </si>
  <si>
    <t>pic.twitter.com/s6RJwn9LY9</t>
  </si>
  <si>
    <t>👮🏼‍♂SP-Escolta por el @Interiorgob. 📜Fundador: @HacemosPatria.📝Uno a uno todos somos mortales pero juntos somos eternos. 🇪🇸 📍En #Pamplona poniendo orden.</t>
  </si>
  <si>
    <t>https://Instagram.com/angel_esojo/</t>
  </si>
  <si>
    <t>antonio peiro salto</t>
  </si>
  <si>
    <t># @peiroantonio1 @vox_es @VoxLerida @Santi_ABASCAL @Ortega_Smith Mi carta de hoy en los medios de Lerida</t>
  </si>
  <si>
    <t>https://pbs.twimg.com/media/DtmuNPVXcAAJn6U.jpg</t>
  </si>
  <si>
    <t>Desde 1.970 luchando en defensa de España y por la Justicia social entre los españoles</t>
  </si>
  <si>
    <t>Pbl</t>
  </si>
  <si>
    <t>Oye, @Santi_ABASCAL, ¿sabes hacer twerking?</t>
  </si>
  <si>
    <t>Perreo pa' los nenes, perreo pa' las nenas</t>
  </si>
  <si>
    <t>CdV - Navarra</t>
  </si>
  <si>
    <t>¿Vais a enseñarle a @Santi_ABASCAL lo que es el fascismo? Lo sabe muy bien, lo vivió durante muchos años en la CAV. El chaval joven del niki rojo es Santiago Abascal junto a su padre de amarillo, los 2 amenazados por ETA, con los que ahora gobierna Sánchez</t>
  </si>
  <si>
    <t>Navarra</t>
  </si>
  <si>
    <t>Libertad individual, derecho de propiedad y Estado limitado. Delegación regional de @clubdeviernes navarra@elclubdelosviernes.org</t>
  </si>
  <si>
    <t>Júlia ✨</t>
  </si>
  <si>
    <t>Buen documental, no solo para saber quién es Santi Abascal, también para conocer bien la extrema derecha en este país y en Europa #VoxAbascalTV3</t>
  </si>
  <si>
    <t>Queterunya</t>
  </si>
  <si>
    <t>Periodista. Podria odiar aquest món, però tinc altres coses per fer.</t>
  </si>
  <si>
    <t>Yo he votado a @PSOE a @CiudadanosCs a @UPYD al @PPopular y ahora me voy a descargar las 100 medidas de @vox_es porque si me gustan voy a votar a @Santi_ABASCAL en las próximas generales. Voy publicando una por una con comentario las 100 medidas...</t>
  </si>
  <si>
    <t>Salvatore</t>
  </si>
  <si>
    <t>Uuyyy que se le hace el culito Cocacola de que @Santi_ABASCAL le mencione RT @JOSEMANUELSOTO1: Estaba claro, los q estamos en la calle desarrollamos un olfato infalible para lo q va a pegar y lo q va a pinchar, mi enhorabuena y agradecido por la mención...</t>
  </si>
  <si>
    <t>https://twitter.com/JOSEMANUELSOTO1/status/1069901340195872769
https://twitter.com/santi_abascal/status/1069900610550579200</t>
  </si>
  <si>
    <t>Vallekas</t>
  </si>
  <si>
    <t>Aprendí q más vale caer en gracia que ser gracioso. ADRV siempre! Futuro restaurador de clásicos.</t>
  </si>
  <si>
    <t>Izquierda con chorizo</t>
  </si>
  <si>
    <t>Pronto llega tu turno. @Juan_A_Morales @vox_es @Santi_ABASCAL @Ortega_Smith</t>
  </si>
  <si>
    <t>http://www.extremadura7dias.com/noticia/extremadura-unida-a-extremadura-le-hace-falta-otro-cambio-radical</t>
  </si>
  <si>
    <t>Extremadura, España</t>
  </si>
  <si>
    <t>VIVA ESPAÑA🇪🇸🇪🇸🇪🇸🇪🇸🇪🇸</t>
  </si>
  <si>
    <t>Más comentados ahora en Derecha/Centro Dcha.: ➀ @Santi_ABASCAL ↓ ➁ @ahorapodemos ↑ ➂ @sanchezcastejon ↓↓ ➃ @PSOE ↓ ➄ @vox_es ↓ ➅ @Miotroyo2parte ↓ ➆ @ElCascabelTRECE ↑ ➇ @FroilLannister ↑↑ ➈ @ivanedlm ↑</t>
  </si>
  <si>
    <t>J_Puigmartí-Anmella</t>
  </si>
  <si>
    <t>En @tv3cat están proyectando un documento de @vox_es y @Santi_ABASCAL su líder. El documental ha sido realizado por una TV vasca. Tenían que haberlo proyectado en @canalsur antes del domingo y los andaluces se habrían ahorrado un tremendo error, un disgusto y lo que les espera.</t>
  </si>
  <si>
    <t>Barcelona, Espanya</t>
  </si>
  <si>
    <t>Independentista de cor i de raó.</t>
  </si>
  <si>
    <t>Más influyentes ahora en Derecha/Centro Dcha.: ➀ @Santi_ABASCAL ↓ ➁ @Miotroyo2parte ↓ ➂ @ElCascabelTRECE ↑ ➃ @FroilLannister ↑↑ ➄ @ldpsincomplejos ↓ ➅ @ivanedlm ↑ ➆ @Alvisepf ↑ ➇ @hermanntertsch ↑ ➈ @libertaddigital ↑</t>
  </si>
  <si>
    <t>Alex Reese</t>
  </si>
  <si>
    <t>#VoxAbascalTV3 que en TV3 hagan un monográfico sobre @Santi_ABASCAL para desprestigiarlo demuestra que el miedo ha cambiado de bando. #AporEllos secesionistas se os acaba el tiempo.</t>
  </si>
  <si>
    <t>Zaragoza (España)</t>
  </si>
  <si>
    <t>El vallisoletano mas canario, afincado en Zaragoza tras pasar por Tarragona, Español. Comercial por accidente y bueno solucionando problemas en particular</t>
  </si>
  <si>
    <t>Lola Mento</t>
  </si>
  <si>
    <t>Ya quisieras tú tener los huevos que tiene Santi Abascal el día de tu cumpleaños, PRINGAO. Ya te queda menos. RT @pnique: ESPECTACULAR los jóvenes en Sevilla plantando cara al fascismo. El país del 15M y el 8M no va a permitir que nos roben el futuro los que defienden a la banca y a los buitres. Lleven corbata y se llamen Casado o Rivera o lleven pistola y se llamen Abascal. 💪</t>
  </si>
  <si>
    <t>Lo que a todos es concedido, somos nosotros los que lo conseguimos.... Nosotros no morimos. José Martí. Con Israel y Jerusalem, su capital eterna e indivisible.</t>
  </si>
  <si>
    <t>gustinv</t>
  </si>
  <si>
    <t>Que ganas tengo de q lleguen las elecciones generales para q a mas de uno empiece acabarsele el chollo grande @Santi_ABASCAL</t>
  </si>
  <si>
    <t>Juan M.Lacruz</t>
  </si>
  <si>
    <t>Espero que el señor Santi Abascal le meta una buena querella al Pablete para que aprenda a respetar las urnas.A el y a sus votantes comunistas que no saben respetar ni acatar lo que vota el pueblo</t>
  </si>
  <si>
    <t>Como yo lo veo</t>
  </si>
  <si>
    <t>Todos los alcaldes de Catalunya y su presidente @QuimTorraiPla deberían unirse y declarar persona non grata a @Santi_ABASCAL por sus ideas fascistas como suprimir la comunidad catalana. Lo siguiente ¿Qué será prohibir el català? @AdaColau #Abascal #FascismoNuncaMas</t>
  </si>
  <si>
    <t>Advertencia legal: esta cuenta es anónima, republicana, de izquierdas y totalmente a favor de la libertad de expresión. Digo las cosas como yo las veo.</t>
  </si>
  <si>
    <t>Fer López Cabello ‏ن</t>
  </si>
  <si>
    <t>Por lo que aparece en este vídeo y muchas cosas más que no aparecen, respeto y admiro a @Santi_ABASCAL Parece que se nos ha olvidado esto y hace solo 15 años. Ahora le odian porque les votan, esta es su democracia ¡Qué poco les gusta la Libertad a algunos!</t>
  </si>
  <si>
    <t>https://m.youtube.com/watch?v=S8_g6JS2z24&amp;feature=youtu.be</t>
  </si>
  <si>
    <t>Bienaventurados los limpios de corazón. Viva España y la libertad.</t>
  </si>
  <si>
    <t>Mañana en @telecincoes,en el @elprogramadear,primera entrevista televisada a @Santi_ABASCAL después de las #EleccionesAndalucía del pasado domingo.</t>
  </si>
  <si>
    <t>https://pbs.twimg.com/media/DtmpqzSWsAUIdFi.jpg</t>
  </si>
  <si>
    <t>Callarucs</t>
  </si>
  <si>
    <t>Uis, que al final se va a saber porque el niño mimado @Santi_ABASCAL tiene tantas pataletas. @vox_es</t>
  </si>
  <si>
    <t>" No hay tiranía más cruel, que la que se perpetra bajo el escudo de la ley y en nombre de la justicia" MOSTESQUIEU</t>
  </si>
  <si>
    <t>Jesús Mayoral 🇪🇸🇪🇸🇪🇺</t>
  </si>
  <si>
    <t>¿ Llaman xenófobo, maltratador, racista, fascista. Colaboran en dar publicidad a quien pide no respetar la democracia de las urnas y ahora quieren que les atiendan ? Sí, claro, ahora mismo y si queréis @Santi_ABASCAL o saca un chocolate con churros.</t>
  </si>
  <si>
    <t>https://www.esdiario.com/431754091/Vox-deja-en-la-calle-al-equipo-de-La-Sexta-que-habia-mandado-Ferreras-a-su-hotel.html</t>
  </si>
  <si>
    <t>Capricornio del 73, Zaragozano, Aragonés y Español.</t>
  </si>
  <si>
    <t>MiguelÁngel Sánchezن</t>
  </si>
  <si>
    <t>Aqui os paso un video de 2003 donde vemos al fascista @Santi_ABASCAL está claro que es un peligro para la democracia.</t>
  </si>
  <si>
    <t>Palma del Río</t>
  </si>
  <si>
    <t>Esta sociedad líquida necesita Cimientos Sólidos en los que basarse: fe en Dios, respeto a la Ley y al que piensa de forma distinta, más amor y menos rencor.</t>
  </si>
  <si>
    <t>http://miguelangelsanchezvargas.blogspot.com.es/</t>
  </si>
  <si>
    <t>amadeus</t>
  </si>
  <si>
    <t>Pues señores, a mi @Santi_ABASCAL me parece un tío valiente, que viene de una trayectoria dura frente a los asesinos de ETA y sus proetarras; que dice lo que muchos pensamos y decimos en casa y entre amigos; y que todos estos políticos de pacotilla están acojonados y sus borregos</t>
  </si>
  <si>
    <t>No somos libres pero lo intentamos. Amor España la bandera y a mi Rey. Si no te gusta, no me sigas. No me interesas.</t>
  </si>
  <si>
    <t>ROBIN HOOD * * *</t>
  </si>
  <si>
    <t>.@Santi_ABASCAL NO SEA PRESUMIDO !!! BIEN ANTES DE LAS ELECCIONES EN ANDALUCIA, @Pablo_Iglesias_ YA HABÍA CONVOCADO MOVILIZACIONES EN LAS CALLES !!! AHORA, CON MUCHA MÁS RAZÓN !!! PODEMOS vuelve a las calles con concentraciones en toda España !!!  PÁSELO</t>
  </si>
  <si>
    <t>https://www.elconfidencialdigital.com/articulo/politica/podemos-vuelve-calles-concentraciones-toda-espana-gran-marcha-madrid/20181017135745117131.html</t>
  </si>
  <si>
    <t>Seignacio ✠ 🇪🇸 ✖</t>
  </si>
  <si>
    <t>Pero el anticonstitucional es @Santi_ABASCAL. Mientras otros daban charlas en Herrikos Tabernas, él defendía España donde era más difícil. RT @COPE: "@Santi_ABASCAL Pim, Pam, Pum": el día que el líder de @Vox_es, amenazado tanto él como su familia por ETA, fue golpeado y escupido por batasunos</t>
  </si>
  <si>
    <t>Cádiz, Zahara, España</t>
  </si>
  <si>
    <t>De una religión de hombres honrados. Verde oliva. No hay memoria sin verdad. Carne de cheka.</t>
  </si>
  <si>
    <t>Thebest1</t>
  </si>
  <si>
    <t>Targetas Green... todo empieza a tener más sentido. @Santi_ABASCAL es usted un buen politico español: hace ver que trabaja para poder vivir por encima de sus posibilidades. #VoxAbascalTV3</t>
  </si>
  <si>
    <t>Francisco Serrano</t>
  </si>
  <si>
    <t>Mañana en @elprogramadear la primera entrevista en televisión de @Santi_ABASCAL . Son muchas las preguntas para el lider de @vox_es . La sorpresa en la política española.</t>
  </si>
  <si>
    <t>Sevilla, Andalucía</t>
  </si>
  <si>
    <t>Diputado por VOX en el parlamento de Andalucía. Magistrados y Fiscal en excedencia. Abogado en lucha por #IgualdadTotal y defensa de los más débiles.</t>
  </si>
  <si>
    <t>A ver a ver. Que dice @santi_abascal que no son racistas ni homofobos. ¿Cuándo nos reímos? #VOX #CautivoxLaCafetera @vox_es #Fascismo #extremaderecha</t>
  </si>
  <si>
    <t>Javier Iruretagoyena</t>
  </si>
  <si>
    <t>Os pido unos minutos para que veáis los inicios de @Santi_ABASCAL en Llodio El chaval joven del niki rojo @Santi_ABASCAL junto a su padre de amarillo, los 2 amenazados por ETA y los tíos con los huevos más gordos que el caballo de espartero.</t>
  </si>
  <si>
    <t>Navarro de Pamplona. Montañero, meteorólogo y astrónomo aficionado. Dios, Patria y Rey</t>
  </si>
  <si>
    <t>Con el trabajo de hoy, @laSextaTV ha logrado ganar otro millón más de votantes para @vox_es y @Santi_ABASCAL .</t>
  </si>
  <si>
    <t>Hugo Ibra 十</t>
  </si>
  <si>
    <t>Dame a Pablo Iglesias cien mil veces antes que a Santi Abascal. Dame a Pedro Sánchez. Dame a quién sea pero jamás a un fascista, racista, misógino y antianimalista. Y si algún seguidor mío es simpatizante de semejante aberración que deje ya de seguirme. Me repugna.</t>
  </si>
  <si>
    <t>Verín y Madrid.</t>
  </si>
  <si>
    <t>Periodismo y Policía. Nací siendo nadie y nadie será como yo. No es arrogancia si puedo sostenerlo. @yoly23verin #FútbolandFitness #ATM #ZlatanIbrahimovic</t>
  </si>
  <si>
    <t>http://instagram.com/hugoibra10</t>
  </si>
  <si>
    <t>HT Como #FrenarElFascismo No hace más que aumentar los simpatizantes y seguidores de @vox_es y @Santi_ABASCAL Al final superarán en votos a los comunistas chavistas de Podemos.</t>
  </si>
  <si>
    <t>Ћõkõ-w⛩</t>
  </si>
  <si>
    <t>Que FACHITA eres segun tu mes de nacimiento: Ene: tipical cuñadus Feb: taurinx Mar: Santi Abascal Abril: jornalerx que vota PP Mayo: vota C's Jun: J.M. Aznar Jul: falangista Ago: viste "españolo" Sep: Alvaro Ojeda Oct: franquista Nov: vota a vox Dic: Pablo casado</t>
  </si>
  <si>
    <t>Hola, Kenya</t>
  </si>
  <si>
    <t>Iyo majare!Maker3D/Fotógrafo/diseñador 3Dnoob/ trabajo entre vicios y viciosos, rly. ya no se que mas poner aquí.</t>
  </si>
  <si>
    <t>http://weirdorconfusing.com/</t>
  </si>
  <si>
    <t>AZUKIKI🌟🆓</t>
  </si>
  <si>
    <t>Por lo que dice Santi Abascal por esa mierda de boca, este tiene complejo o es la viva reencarnación de Torquemada.....La primera vez que ví una papeleta de estos, ya me pregunté, ¿Y cómo es que estos antinconstitucionalistas no están ilegalizados? Como que son el PP.</t>
  </si>
  <si>
    <t>Pléyades</t>
  </si>
  <si>
    <t>DE IZQUIERDA, LA ÚNICA QUE HAY, REPUBLICANA, NO CREO EN LA JUSTICIA EN ESTE PAÍS, PERO CREO EN EL CAMBIO DE MENTALIDAD, ASÍ QUE ESPERO UNA AUTÉNTICA REVOLUCIÓN.</t>
  </si>
  <si>
    <t>Cuando la tv de los golpistas, la regional catalana TV3, dedica un programa monográfico a @Santi_ABASCAL aunque sea para desacreditarlo, significa que en @vox_es estamos haciendo las cosas muy bien. #EspañaViva #España #Vox #VotaVox #VoxAvanza #VoxAbascalTV3</t>
  </si>
  <si>
    <t>PinAlv</t>
  </si>
  <si>
    <t>Ya veo a la sexta diciendo que la culpa es de @vox_es y @Santi_ABASCAL 😂😂😂😂😂😂 #AndalucíaPorEspaña RT @A3Noticias: #ÚLTIMAHORA: Madrid activa el protocolo por alta contaminación: la velocidad máxima será este miércoles de 70 km/h en la M-30 y los accesos a la ciudad</t>
  </si>
  <si>
    <t>https://twitter.com/A3Noticias/status/1070055892836589568
http://atres.red/ipc2q1</t>
  </si>
  <si>
    <t>Perseguido por ser Hetero</t>
  </si>
  <si>
    <t>En @tv3cat en su programa "desenmascarando a @Santi_ABASCAL " entrevistando a ex militantes de VOX desterrados. Vamos como si le preguntasen a mi ex quién soy yo. Y llorando por las demandas que ha interpuesto @vox_es contra los independentistas.</t>
  </si>
  <si>
    <t>Defiendo la familia y lucho contra la secta de género. Mujer, si te molesta mi comentario eres una feminista radical, en caso de hombre simplemente eres idiota.</t>
  </si>
  <si>
    <t>FM. 🇪🇸</t>
  </si>
  <si>
    <t>Santiago Abascal: «Vox no es un partido de extrema derecha, es de extrema necesidad» @kastillo62 @AbeInfanzon @alfonso_ussia @hermanntertsch @PerdigueroSIPEp @JOSEMANUELSOTO1 @CristinaSegui_ @javiernegre10 @GeneralDavila @ldpsincomplejos @LaRetuerka @Ortega_Smith @Santi_ABASCAL</t>
  </si>
  <si>
    <t>https://pbs.twimg.com/media/DtmmAWHXgAIoAJs.jpg</t>
  </si>
  <si>
    <t>España es el país más fuerte del mundo, lleva siglos tratando de autodestruirse y no lo han conseguido,el día q dejen de intentarlo,será la vanguardia del mundo</t>
  </si>
  <si>
    <t>Guadalupe De la Fuente</t>
  </si>
  <si>
    <t>Mira y aprende @Pablo_Iglesias_ @pnique estos son políticos de base. @pablocasado_ @Santi_ABASCAL @sanchezcastejon @ivanedlm @monasterioR</t>
  </si>
  <si>
    <t>pic.twitter.com/E9LoLzDWLW</t>
  </si>
  <si>
    <t>La familia lo único</t>
  </si>
  <si>
    <t>Cuando en 2003 @Santi_ABASCAL fue a recoger su acta de concejal en Llodio recibió insultos, empujones y escupitajos de los batasunos con los que hoy pacta el presidente @sanchezcastejon. Recuerda este vídeo cuando quieran venir a darte lecciones de democracia.</t>
  </si>
  <si>
    <t>pic.twitter.com/k4BEOhjp23</t>
  </si>
  <si>
    <t>Pat</t>
  </si>
  <si>
    <t>Jugada maestra @sanchezcastejon cuanto más tardes en convocar #ELECCIONES , más crecen los votos de @vox_es . Si sigues en tu línea de felón okupa y malversador de los recursos públicos como el Falcon, veo a @Santi_ABASCAL de Presidente antes de que te des cuenta! 😂👏🏻🙏🏼 RT @sanchezcastejon: Aprobaremos los Presupuestos Generales en el #CMin y los llevaremos al Parlamento en el mes de enero. Este Gobierno va a cumplir con su tarea, que es presentar los #PGE2019, y trabajaremos por lograr los apoyos parlamentarios necesarios para sacarlos adelante. #SánchezT5</t>
  </si>
  <si>
    <t>https://twitter.com/sanchezcastejon/status/1070061628085940224</t>
  </si>
  <si>
    <t>https://pbs.twimg.com/media/DtmeuxjW0AEr1sg.jpg</t>
  </si>
  <si>
    <t>No me toques los tacones... sólo creo en el ATLETI 🔴⚪️ Conmigo quien quiera, contra mi quien pueda... ESPAÑOLA MUY ESPAÑOLA MUCHO ESPAÑOLA 🇪🇸🇪🇸 ⛔️🎗✊🏼👿</t>
  </si>
  <si>
    <t>Joer qué pinta gayer musclebear que se gasta @Santi_ABASCAL con esos pantalones prietos. #VoxAbascalTV3</t>
  </si>
  <si>
    <t>Ecce homo</t>
  </si>
  <si>
    <t>Que poco les gusta la democracia. Fuerza @vox_es y @Santi_ABASCAL RT @Santi_ABASCAL: Después de que hordas comunistas empujadas por Pablo Iglesias aullaran pidiendo descuartizar "a pedazos" a los miembros de VOX, vemos como hay periodistas señalando direcciones y a familiares de candidatos. Tomamos nota. Pero ya advertimos: serán culpables de las consecuencias.</t>
  </si>
  <si>
    <t>Todas las personas tienen mi respeto. NO todas las ideas. 🚫 ideología de género. Políticamente incorrecto. // JUSTICIA. UNIDAD. PAZ. // Ingeniero.</t>
  </si>
  <si>
    <t>Tonet #Freedom Tabarnia</t>
  </si>
  <si>
    <t>Es síntoma del daño que han hecho @Santi_ABASCAL y su partido @vox_es en Andalucía. No sufras demasiado @CristinaSegui_ RT @CristinaSegui_: ¿Cuando @elespanolcom te llama “discípula de Abascal” es porque se han dejado el código deontologico neofeminista junto al WC? ¿O es que el respeto a la mujer y su independencia sólo mola para las que son de izquierdas?</t>
  </si>
  <si>
    <t>https://twitter.com/cristinasegui_/status/1069912666301444096</t>
  </si>
  <si>
    <t xml:space="preserve">Barcelona - Tabarnia - España </t>
  </si>
  <si>
    <t>Tabarnia is not Catalonia</t>
  </si>
  <si>
    <t>Javier de Hoyos</t>
  </si>
  <si>
    <t>Este beso de amor se lo dedico a @vox_es y a su líder @Santi_ABASCAL . Porque el amor no entiende de palabras que restrinjan su libertad. Y les dedico este beso porque he aprendido que las fobias solo se pueden combatir con amor, el odio no merece la pena. #lovewins🌈</t>
  </si>
  <si>
    <t>https://pbs.twimg.com/media/Dtmk_m-X4AIilVZ.jpg</t>
  </si>
  <si>
    <t>🎤Presentador 🎭Actor 🎬Youtuber ⏳Solo importan estos 3 segundos. Trabaja para ser feliz en tu presente</t>
  </si>
  <si>
    <t>https://www.youtube.com/watch?v=h2_JKhZq5k4</t>
  </si>
  <si>
    <t>Polit.Incorrecte</t>
  </si>
  <si>
    <t>#VOXAvanza Cada día un paso firme. Cada día un nuevo logro. Cada día un escalón. @Santi_ABASCAL nuestra esperanza. @vox_es nuestro camino. Ahora @Alternativa_VOX Ellos ladran,luego nosotros cabalgamos. 🇪🇸 #VOX #Abascal #EspañaViva #EleccionesYa #SanchezLargate</t>
  </si>
  <si>
    <t>RESPUESTASVEGANAS.ORG</t>
  </si>
  <si>
    <t>🤦🏻‍♂️ @Santi_ABASCAL, el jamón es cerdo muerto, no son frutas. Por otro lado, usar la falacia de la libertad cada vez engaña a menos personas. #Etica #veganismo #antiespecismo #vox #EleccionesAndalucía #EleccionesAndaluzas #Andalucia #España #politica #Noticias #derechismo #fascismo</t>
  </si>
  <si>
    <t>https://pbs.twimg.com/media/DtmkksTWoAAH4uH.jpg</t>
  </si>
  <si>
    <t>Ética Basada en la Realidad-VeganismoRV http://respuestasveganas.org/p/conceptos-y-… Queremos derecho a la salud/vida, no libertad</t>
  </si>
  <si>
    <t>http://www.RespuestasVeganas.Org</t>
  </si>
  <si>
    <t>Por mucho que @tv3cat y @ETB pretendan manchar el nombre d @vox_es y de @Santi_ABASCAL nos mantendremos firmes en nuestro afán de hacer grande y fuerte la única esperanza que tenemos ahora en España.🇪🇸 Cada injuria,una medalla. Ladran,pues cabalgamos. #Abascal #EspañaViva #VOX</t>
  </si>
  <si>
    <t>Cuanto más escucho a @Santi_ABASCAL más me gusta. Es verdad que el aspecto pro franquista de Vox no me gusta, pero creo que esos son cuatro gatos. Vox es una reacción a lo ineficaz del sistema habitual. Y es de la gente normal.</t>
  </si>
  <si>
    <t>Sayonara Progre 🐸</t>
  </si>
  <si>
    <t>El poder memético de esta obra de arte se sale de las gráficas. Quién sea su autor, menudo artista 🤣 @vox_es @voxnoticias_es @Alternativa_VOX @Santi_ABASCAL @Ortega_Smith @Vox_Almeria @VOX_CADIZ @vox_malaga @VOX_Jaen @VOXSevilla @Huelva_Vox @VoxCordoba @vox_granada</t>
  </si>
  <si>
    <t>pic.twitter.com/owsYVLzqv0</t>
  </si>
  <si>
    <t>Los Angeles, CA</t>
  </si>
  <si>
    <t>Arquitecto de los memes y despiadado archienemigo del progretariado y sus secuaces. ¡Súmate a la lucha! ¡Cada Follow, Like o RT nos acerca más a la victoria!</t>
  </si>
  <si>
    <t>http://www.skynetcorporation.com</t>
  </si>
  <si>
    <t>Parru83</t>
  </si>
  <si>
    <t>A ganar en campo contrario! Animo @Santi_ABASCAL !!! RT @anarosaq: Mañana en @elprogramadear la primera entrevista en televisión de @Santi_ABASCAL . Son muchas las preguntas para el lider de @vox_es . La sorpresa en la política española.</t>
  </si>
  <si>
    <t>unTutúparaCokito🇪🇸</t>
  </si>
  <si>
    <t>Andaluces!, por vuestra culpa ha salido la ULTRA DERECHA 👻💀, por haberos quedado todos en casa, holgazanes!!! Jajaja, lo que hay que oír .Qué cara tiene usted "señor"! Espero que @vox_es y @Santi_ABASCAL lo pongan en su sitio de una vez,fuera de Moncloa!</t>
  </si>
  <si>
    <t>https://www.telecinco.es/informativos/nacional/Pedro-Sanchez-PSOE-Informativos-Telecinco-Andalucia-Susana-Diaz_2_2669655190.html</t>
  </si>
  <si>
    <t>Rota, España</t>
  </si>
  <si>
    <t>DWachman</t>
  </si>
  <si>
    <t>Para cuando nos llamen fascistas @madrid_vox @vox_es @Santi_ABASCAL @CristinaGomezC7 @CristinaSegui_ @Ortega_Smith @WillyTolerdoo que se vean los ignorantea este gran video. RT @librepensadorJG: Harto de la incultura del personal y de la banalización del significado de la palabra fascista, dejo este vídeo para aclarar de una vez por todas lo que es el fascismo. ¿Me ayudan a divulgarlo? @perezreverte @hermanntertsch @ldpsincomplejos @dlacalle</t>
  </si>
  <si>
    <t>https://twitter.com/librepensadorJG/status/1070056647651926017
https://www.youtube.com/watch?v=MOT_jCXzrss</t>
  </si>
  <si>
    <t>DJ since 1987/ Founder &amp; producer http://atlas-records.com Instag: dwachman Gigs: bookings@dwachman.com y del @atleti</t>
  </si>
  <si>
    <t>http://www.dwachman.com</t>
  </si>
  <si>
    <t>𝒩𝒾𝒸ℴ𝓁𝒶́𝓈  𝒫𝓇ℴ𝓁  𝒜𝓉𝓇𝒾ℴ</t>
  </si>
  <si>
    <t>Santiago Abascal, todos somos hijos del mismo Sol. @Santi_ABASCAL</t>
  </si>
  <si>
    <t>🇺🇳🇪🇺🇪🇸 The Earth is my nation | La Tierra es mi País || Law | Derecho || 21 || Gålï¢ïå es mi tierra. #GobiernoDeLaDignidad</t>
  </si>
  <si>
    <t>Fernando 🇮🇹</t>
  </si>
  <si>
    <t>Excelente discurso de @vox_es @Santi_ABASCAL en Sevilla, sin dudas quiere sacar de España justamente lo que queremos evitar en la Argentina . #BastaDeZurdos #BastaDeHembrismo</t>
  </si>
  <si>
    <t>Ortodoxo. De Derecha y Conservador.</t>
  </si>
  <si>
    <t>El mundo al revés: manifestaciones antifascistas organizadas por fascistas. Estas «personas» no van a poder deslucir la brillante victoria de @Santi_ABASCAL y @vox_es en las elecciones andaluzas. #VivaEspaña #VivaVOX #VoxAvanza #LaEspañaViva</t>
  </si>
  <si>
    <t>https://cordopolis.es/2018/12/04/la-manifestacion-antifascista-corta-el-trafico-en-el-centro-de-la-capital/</t>
  </si>
  <si>
    <t>M Eloy Torno</t>
  </si>
  <si>
    <t>Después de ver al Presidente en Tele5, todo mi apoyo a @Santi_ABASCAL</t>
  </si>
  <si>
    <t>padrexigualdad</t>
  </si>
  <si>
    <t>#FrenarElFascismo los antifascistas que manda @Pablo_Iglesias_ a la calle es puro fascismo de izquierdas. Muy peligroso calentar al pueblo por no estar conforme con los resultados de las urnas. Esperemos que se respete a los que piensan distinto @Santi_ABASCAL</t>
  </si>
  <si>
    <t>Buscando un partido que luche por la igualdad, no por los votos. Los niños no votan</t>
  </si>
  <si>
    <t>http://www.google.es</t>
  </si>
  <si>
    <t>Más comentados hoy en Derecha/Centro Dcha.: ➀ @Santi_ABASCAL ↑↑↑ ➁ @ldpsincomplejos ↑ ➂ @sanchezcastejon ↓ ➃ @CristinaSegui_ ↑ ➄ @hermanntertsch ↑ ➅ @ahorapodemos ↓ ➆ @PSOE ↓ ➇ @vox_es ↓ ➈ @PPopular ↓ ➉ @JosPastr ↓</t>
  </si>
  <si>
    <t>https://pbs.twimg.com/media/DtmiAiGW0AQyZDW.jpg</t>
  </si>
  <si>
    <t>Juanakasur</t>
  </si>
  <si>
    <t>Me siento orgulloso de votar a @vox_es y de su líder @Santi_ABASCAL Después de lo q has pasado eres la persona indicada para dirigir este país. RT @COPE: "@Santi_ABASCAL Pim, Pam, Pum": el día que el líder de @Vox_es, amenazado tanto él como su familia por ETA, fue golpeado y escupido por batasunos</t>
  </si>
  <si>
    <t>Me caen mal los que solo quieren quedar bien... No son de fiar.</t>
  </si>
  <si>
    <t>Más influyentes hoy en Derecha/Centro Dcha.: ➀ @Santi_ABASCAL ↑↑↑↑ ➁ @ldpsincomplejos ↑ ➂ @CristinaSegui_ ↑ ➃ @hermanntertsch ↑ ➄ @JosPastr ↓ ➅ @WillyTolerdoo ↑ ➆ @Miotroyo2parte ↑ ➇ @Escribano_R ↑ ➈ @EdurneUriarte ↑</t>
  </si>
  <si>
    <t>https://pbs.twimg.com/media/DtmhxjpW4AEqUx5.jpg</t>
  </si>
  <si>
    <t>Maria Isabel Pérez😘</t>
  </si>
  <si>
    <t>Interesante el reportaje de @senseficcio sobre @Santi_ABASCAL en @tv3cat RT @senseficcio: On arrenca la trajectòria política de Santiago Abascal? Ara comença, a @tv3cat, #VoxAbascalTV3 ▶</t>
  </si>
  <si>
    <t>https://twitter.com/senseficcio/status/1070062185131458560
https://tv3.video/SFVox</t>
  </si>
  <si>
    <t>https://pbs.twimg.com/media/DtlqZIPW0AAk3pV.jpg</t>
  </si>
  <si>
    <t>Futura economista.Adoro viajar y leer.Amo la vida.Escribo con el alma.Hablo de misterio @Anonimsmat y Community Manager @MatadeperaRadio #DonaMédula💪 ❤️ VIVE</t>
  </si>
  <si>
    <t>http://mialmadesnudaip.blogspot.com/2018/07/sonamos.html?m=1</t>
  </si>
  <si>
    <t>juanlu</t>
  </si>
  <si>
    <t>Hola @Albert_Rivera coge este pantallazo y le explicas a tus votantes (o exvotantes) por qué aspiráis a pactar (con abstención con @pnique ) y reniegas de @Santi_ABASCAL 😘😘😘</t>
  </si>
  <si>
    <t>https://pbs.twimg.com/media/Dtmgm_RXgAUvLpI.jpg</t>
  </si>
  <si>
    <t>"Os dieron a elegir entre el deshonor y la guerra, elegisteis el deshonor. Ahora tendréis la guerra" Churchill. A quien critique mi camino,le regalo mis zapatos</t>
  </si>
  <si>
    <t>𝕯𝖚𝖓𝖐𝖑𝖊𝖗 𝕺𝖇𝖊𝖗𝖍𝖊𝖗𝖗 𝕵𝕸𝕬𝕬 🎄</t>
  </si>
  <si>
    <t>La pelea entre @Santi_ABASCAL ( @vox_es ) y Pablo Iglesias @ahorapodemos en Soul Calibur VI #EleccionesAndalucia #EleccionesAndalucia2018</t>
  </si>
  <si>
    <t>pic.twitter.com/H7jdrwnGgm</t>
  </si>
  <si>
    <t>Schwulenland</t>
  </si>
  <si>
    <t>The Dictator, the Doom Slayer - Discord: https://discord.gg/Kt88nfy</t>
  </si>
  <si>
    <t>http://jmaa.tv</t>
  </si>
  <si>
    <t>Juan Salgado Igual</t>
  </si>
  <si>
    <t>Aunque vuestra intención seguro que era otra, gracias Monzón Navarro por mostrarme el impecable curriculum de @Santi_ABASCAL en el #ElIntermedio. Me acabas de convencer para votar #VOX en las próximas elecciones. Cualquier cosa que tu programa odie me encanta, gañanes. 😘 🤣🤣🤣</t>
  </si>
  <si>
    <t>https://pbs.twimg.com/media/DtmdqwUWwAAkmI8.jpg</t>
  </si>
  <si>
    <t>🇪🇺🇪🇸󠁥󠁳󠁡󠁳󠁿🇸🇪 LET THE WORLD KNOW THE TRUTH: Catalonian independence movement it's about the SUPREMACY OF SOME CATALANS over other Catalans only.</t>
  </si>
  <si>
    <t>La "independencia informativa" en España todo informacion 0 adoctrinamiento😂😂 @Santi_ABASCAL @vox_es @ivanedlm @Ortega_Smith</t>
  </si>
  <si>
    <t>https://pbs.twimg.com/media/Dtme6y8XQAEuQOk.jpg</t>
  </si>
  <si>
    <t>Mohamed Salem</t>
  </si>
  <si>
    <t>No habrá paracetamol en el mundo que cure el dolor de cabeza que os voy a dar. @Santi_ABASCAL @vox_es @JuanMa_Moreno @PPopular</t>
  </si>
  <si>
    <t>siempre Málaga...siempre y que nadie lo dude.</t>
  </si>
  <si>
    <t>http://instagram.com/mohasalem1/</t>
  </si>
  <si>
    <t>Jim Bredgis +=+=</t>
  </si>
  <si>
    <t>En esta chusma totalitaria se apoya el @PSOE de @sanchezcastejon para gobernar España, pero los fascistas son @vox_es, claro. Me gustaría ver a @Pablo_Iglesias_ , @pnique o @sanchezcastejon en la situación en la que se vieron @Santi_ABASCAL y su padre. Se hubieran cagado!!! 💩💩 RT @COPE: "@Santi_ABASCAL Pim, Pam, Pum": el día que el líder de @Vox_es, amenazado tanto él como su familia por ETA, fue golpeado y escupido por batasunos</t>
  </si>
  <si>
    <t>En serio Susanita? Y todo esto después de pedir una segunda oportunidad. Más votantes que vas a perder. Te veo en las nacionales pidiendo un puesto a @vox_es @Santi_ABASCAL RT @susanadiaz: Os recomiendo este hilo de un profesor a sus alumnos para hacernos a tod@s reflexionar sobre lo que está pasando en nuestra sociedad.</t>
  </si>
  <si>
    <t>https://twitter.com/susanadiaz/status/1069899459843239936
https://www.huffingtonpost.es/2018/12/03/el-hilo-de-un-profesor-andaluz-sobre-los-votantes-de-vox-que-fueron-sus-alumnos-y-que-da-mucho-que-pensar_a_23607652/</t>
  </si>
  <si>
    <t>Más comentados ahora en Derecha/Centro Dcha.: ➀ @sanchezcastejon ↑↑ ➁ @Santi_ABASCAL ↓ ➂ @ahorapodemos ↓ ➃ @PSOE ↑ ➄ @Miotroyo2parte ↓ ➅ @informativost5 ↓ ➆ @ivanedlm ↓ ➇ @ldpsincomplejos ↑ ➈ @CiudadanosCs ↑</t>
  </si>
  <si>
    <t>Más influyentes ahora en Derecha/Centro Dcha.: ➀ @Santi_ABASCAL ↓ ➁ @Miotroyo2parte ↓ ➂ @ivanedlm ↓ ➃ @ldpsincomplejos ↑ ➄ @ElAguijon_ ↑ ➅ @Lamismamente ↓ ➆ @libertaddigital ↑ ➇ @EdurneUriarte ↓ ➈ @hermanntertsch ↓</t>
  </si>
  <si>
    <t>Javier 🇪🇸</t>
  </si>
  <si>
    <t>Cuidado que @Santi_ABASCAL no es Rajoy... RT @qqqqetru: Que barrio bajero!</t>
  </si>
  <si>
    <t>https://twitter.com/qqqqetru/status/1069993199563751424
https://www.libertaddigital.com/espana/2018-12-04/iglesias-contesta-a-abascal-espero-que-no-me-haga-responsable-tambien-de-sus-hemorroides-1276629344/</t>
  </si>
  <si>
    <t>Lawyer. Town planning &amp; Property development specialist.</t>
  </si>
  <si>
    <t>https://twitter.com/Evlex_</t>
  </si>
  <si>
    <t>Chorizo Peleón</t>
  </si>
  <si>
    <t>Nuestro balón de oro Nacional. Abajo los podemitas y arriba España! @Santi_ABASCAL @vox_es</t>
  </si>
  <si>
    <t>https://pbs.twimg.com/media/Dtmd3jKW0AAQuSd.jpg</t>
  </si>
  <si>
    <t>Isla Bellota</t>
  </si>
  <si>
    <t>Natural de Porquilandia, conjunto de islas en el océano Porcínico sur. Crecí en las dehesas de Cerdostroika. Vegano por naturaleza. Aprovecho todo de mí mismo🐽</t>
  </si>
  <si>
    <t>http://www.xvideos.com</t>
  </si>
  <si>
    <t>Alvaro Carrellán</t>
  </si>
  <si>
    <t>Enhorabuena @Santi_ABASCAL por la multitud de votos conseguidos!!!! Me gusta que @vox_es vaya con una ideología diferente y seguro que todo lo vamos a superar y mejorar!!!! Aquí tenéis uno más con ustedes 👏</t>
  </si>
  <si>
    <t>La magia esta en creer en ti mismo. Si crees en ti, puedes lograr cualquier cosa Participante de la 2 edicion de #qqccmh de canal cuatro</t>
  </si>
  <si>
    <t>http://blogloscarrellanqqccmh.blogspot.com.es/</t>
  </si>
  <si>
    <t>#VÍDEO "@Santi_Abascal Pim, Pam, Pum": así amenazaron, golpearon y escupieron los batasunos al líder de @vox_es, amenazado él y su familia por ETA</t>
  </si>
  <si>
    <t>http://ww.cope.es/u1iun3</t>
  </si>
  <si>
    <t>Dogma XCVI</t>
  </si>
  <si>
    <t>¿Sabes Pablo @pnique porque @Santi_ABASCAL lleva pistola? Porque los «hombres de paz» de ETA tenían amenazados de muerte a su padre y a él. Ojalá jamás te pase a ti ni a nadie de tu partido. Ojalá ser político no tenga que pagarse con la propia vida como antaño. #FrenarElFascismo</t>
  </si>
  <si>
    <t>Cinéfilo · Liberal · 🇪🇸Español 🇪🇸· Informático · ̶C̶a̶t̶a̶l̶á̶n̶/Tabarnés exiliado · Derecho</t>
  </si>
  <si>
    <t>Vicen Almería 🇪🇸</t>
  </si>
  <si>
    <t>#elintermedio sacáis el currículum en política de @Santi_ABASCAL . Se os ha olvidado decir que ocupar esos cargos en esa comunidad autónoma y en ese contexto era jugarse la vida.</t>
  </si>
  <si>
    <t>https://pbs.twimg.com/media/DtmdQ4EXQAAMxKW.jpg</t>
  </si>
  <si>
    <t>Almería Región 🏴󠁧󠁢󠁥󠁮󠁧󠁿</t>
  </si>
  <si>
    <t>Fíate y no corras...</t>
  </si>
  <si>
    <t>Juntos Podremos</t>
  </si>
  <si>
    <t>Yo creo, entiendo y espero que @Santi_ABASCAL viva para dignificar la politica y mejorar la convivencia de los españoles proponiendo leyes más justas, sin falsas ideologías/perspectivas de género, que discriminan y criminalizan a la mitad de los españoles...sólo por ser hombres! RT @Jevi90249843: @Santi_ABASCAL</t>
  </si>
  <si>
    <t>https://twitter.com/Jevi90249843/status/1069715166353391616</t>
  </si>
  <si>
    <t>https://pbs.twimg.com/media/DthkQzuW4AEL7Wa.jpg</t>
  </si>
  <si>
    <t>Las políticas de género generan + violencia = causas, NO género = biología, NO ideologia = discriminación. Apoyo el veganismo y los derechos animales/ humanos.</t>
  </si>
  <si>
    <t>Andoni</t>
  </si>
  <si>
    <t>El vídeo de ETB que destapa la vida laboral de Santiago Abascal: Siempre ha vivido de lo público</t>
  </si>
  <si>
    <t>https://www.lapandereta.es/esperanza-aguirre-jose-maria-aznar-los-primeros-padrinos-de-santi-abascal-en-madrid/</t>
  </si>
  <si>
    <t>Avilés, Asturias.</t>
  </si>
  <si>
    <t>secretario de organización y finanzas en podemos Corvera, hintxa del Athletic.</t>
  </si>
  <si>
    <t>#FrenarElFascismo Esto es un buen símil de lo que a hecho el @psoedeandalucia con la gran Andalucía. @Santi_ABASCAL @ahorapodemos @DebatAlRojoVivo @LaFallaras @COPE @eduardoinda @pacomarhuenda @iunida @_anapastor_</t>
  </si>
  <si>
    <t>pic.twitter.com/cdEbCiIIYd</t>
  </si>
  <si>
    <t>VOX Meco</t>
  </si>
  <si>
    <t>Españoles, escuchen mañana a @Santi_ABASCAL. Aunque seguro no será un masaje, nuestro presidente saldrá triunfante y demostrará a España las verdaderas ideas de @vox_es. 💪💪✌️✌️ RT @anarosaq: Mañana en @elprogramadear la primera entrevista en televisión de @Santi_ABASCAL . Son muchas las preguntas para el lider de @vox_es . La sorpresa en la política española.</t>
  </si>
  <si>
    <t>Meco, España</t>
  </si>
  <si>
    <t>Cuenta oficial de VOX Meco. Sin complejos, por España. Si quieres formar parte de nuestro proyecto, contáctanos. meco@madrid.voxespana.es</t>
  </si>
  <si>
    <t>http://voxespana.es/madrid</t>
  </si>
  <si>
    <t>Dramón 🥄</t>
  </si>
  <si>
    <t>David Duke, el del KKK, ofrece a Santi Abascal una de las estatuas de generales confederados.</t>
  </si>
  <si>
    <t>https://pbs.twimg.com/media/DtmcLozXQAAbNZw.jpg</t>
  </si>
  <si>
    <t>Enamorado de mi chica. Inspired by Dramón, my dog for life. Abogado que trasnocha, siempre pendiente de la hora del Este. #NBA #GrizzNation</t>
  </si>
  <si>
    <t>Calderon Toros</t>
  </si>
  <si>
    <t>Tranquilo @Santi_ABASCAL que ya sabemos quienes son los violentos, los racistas y los fascistas.</t>
  </si>
  <si>
    <t>https://www.cope.es/v/590190</t>
  </si>
  <si>
    <t>Salió un toro de casta brava a eso de las siete de la tarde, y eran las tantas de la madrugada cuando aún discutía la afición si mereció la vuelta al ruedo</t>
  </si>
  <si>
    <t>Fernando III</t>
  </si>
  <si>
    <t>Cree el ladrón que todos son de su condición, menos mal que @Santi_ABASCAL ni calla, ni se acojona, ni tiene complejos, en breve estará el subvencionado en el juzgado, seguro. RT @enrilink: El Facuo no dice lo que su familia lleva MAMANDO de la cueva de malhechores de Andalucía. Trabaja menos que los de UGT en Navidad y el resto del siglo</t>
  </si>
  <si>
    <t>https://twitter.com/enrilink/status/1070051178988359686
https://twitter.com/RubenSanchezTW/status/1070047662068690944</t>
  </si>
  <si>
    <t>La Libertad es el único objetivo digno del sacrificio de la vida de los hombres. Ahora que la tienes, no consientas que te la quiten.</t>
  </si>
  <si>
    <t>DaniPintoB 🇪🇸</t>
  </si>
  <si>
    <t>"Abascal Pim, Pam, Pum": el día que el líder de Vox fue golpeado y escupido por batasunos  @Santi_ABASCAL se forjó como político en el PP Vasco, con una actitud desafiante contra la izquierda abertzale y contra ETA. ¿A él le van a hablar de fascismo?</t>
  </si>
  <si>
    <t>Barcelona-ESPAÑA 🇪🇸🇪🇺</t>
  </si>
  <si>
    <t>Vicepresidente @espanyacatalans-Sec. Gral. @ASAPRONA-Vocal Associació Comerciants ETN. #RealValladolid #RealMadrid #España #Historia #IIGM #Queen #NBA #VOX #F1</t>
  </si>
  <si>
    <t>http://danielpintobausela.wordpress.com</t>
  </si>
  <si>
    <t>Rosa_Torren</t>
  </si>
  <si>
    <t>Terminada la entrevista de @sanchezcastejon en T5 y a pesar de la insistencia de @pedropiqueras , Mr. Universo se ha mirado en el espejo y ha hecho una reflexión: "espejito mágico ¿quien es el mas guapo del Reino? Respuesta.. Ahora es @Santi_ABASCAL !!! 😎😂😂🇪🇸❤❤</t>
  </si>
  <si>
    <t>Ho Chi Minh, Vietnam</t>
  </si>
  <si>
    <t>Española hasta la médula y no, no me avergüenzo 🇪🇸🇪🇸🇪🇸❤❤❤</t>
  </si>
  <si>
    <t>Sidewinder  🇪🇸🇪🇸🇪🇸</t>
  </si>
  <si>
    <t>¿Pero no eran los "malos de la película" los de @vox_es y @Santi_ABASCAL ? Yo no entiendo nada. De verdad. RT @larazon_es: #España 😱 Manuel Valls sale escoltado por un escrache independentista en Barcelona.</t>
  </si>
  <si>
    <t>https://twitter.com/larazon_es/status/1070056398539681793
http://lrzn.es/kjtst2</t>
  </si>
  <si>
    <t>https://pbs.twimg.com/media/DtmYWUjXcAIVfSK.jpg</t>
  </si>
  <si>
    <t>Un deseo no cambia nada, una decisión cambia todo.</t>
  </si>
  <si>
    <t>Fascismo legal, vergüenza nacional. @Santi_ABASCAL</t>
  </si>
  <si>
    <t>🧠💥</t>
  </si>
  <si>
    <t>Clint_is_good</t>
  </si>
  <si>
    <t>Espero que te los meriendes @Santi_ABASCAL ! RT @anarosaq: Mañana en @elprogramadear la primera entrevista en televisión de @Santi_ABASCAL . Son muchas las preguntas para el lider de @vox_es . La sorpresa en la política española.</t>
  </si>
  <si>
    <t>Tocar las narices es un arte.</t>
  </si>
  <si>
    <t>Y mañana primera entrevista de @Santi_ABASCAL en tele. Estará con @anarosaq en @elprogramadear a partir de las 09.00h. @unicorntves</t>
  </si>
  <si>
    <t>not found</t>
  </si>
  <si>
    <t>Por qué el gran Wyoming tiene erecciones con @rogertorrent y no con el apuesto @Santi_ABASCAL ? No es su tipo? #ElIntermedio</t>
  </si>
  <si>
    <t>Nací, crecí y aquí ando esperando a la muerte. Poco más.</t>
  </si>
  <si>
    <t>~🇪🇸~EL ZORRO~🇪🇸~</t>
  </si>
  <si>
    <t>¿Que pensara @pnique de que @Santi_ABASCAL tenga licencia de armas y llevase un arma corta porque los amigos de @ahorapodemos quisiesen matarlo?</t>
  </si>
  <si>
    <t>En toda España</t>
  </si>
  <si>
    <t>vividor,bohemio,nostálgico,persuasivo,enamorado,coleguita,trabajador,marido y padre</t>
  </si>
  <si>
    <t>Más de uno se ha bloqueado y todavía lo está procesando (bip) 🤖 @vox_es @voxnoticias_es @Alternativa_VOX @Santi_ABASCAL @Ortega_Smith @VOX_Jaen @vox_malaga @VoxCordoba @Huelva_Vox @VOX_CADIZ @VOXSevilla @Vox_Almeria @vox_granada</t>
  </si>
  <si>
    <t>https://pbs.twimg.com/media/DtmZPpAX4AYMmap.jpg</t>
  </si>
  <si>
    <t>José Manuel</t>
  </si>
  <si>
    <t>No me molestaría que apareciera en Peru alguien con los conceptos claros como @Santi_ABASCAL RT @ivanedlm: 2. En materia de inmigración, y como dijo @Santi_ABASCAL, nosotros queremos para España lo que Pablo Iglesias quiere para su familia; una bonita casa con muros, y una puerta que abre a quien quiera, y vigilada por la @policia</t>
  </si>
  <si>
    <t>https://twitter.com/ivanedlm/status/1070037563619098624</t>
  </si>
  <si>
    <t>pic.twitter.com/qHHJkRC6XP</t>
  </si>
  <si>
    <t xml:space="preserve">Peru </t>
  </si>
  <si>
    <t>Soy políticamente incorrecto anti caviar y me gustan los perros son lo mejor de este mundo hincha del sport boys ADVERTENCIA SI JODES TE MANDARÉ A LA MIERDA</t>
  </si>
  <si>
    <t>Ciudadano G</t>
  </si>
  <si>
    <t>Carta de David Duke a Abascal: "Querido Santi, quiero daros la enhorabuena por lo conseguido en Andalucía. Eso si, tenemos que hablar sobre cierto militante que tenéis en Cataluña,creo que no os habéis dado cuenta de una cosa..."</t>
  </si>
  <si>
    <t>Twitiritero</t>
  </si>
  <si>
    <t>http://blogciudadanog.blogspot.com.es/</t>
  </si>
  <si>
    <t>Inés Martínez</t>
  </si>
  <si>
    <t>¿En qué año nació Santi Abascal..? lo digo por si lo de la reencarnación...</t>
  </si>
  <si>
    <t>Tiparraca parisienne &amp; artista nihilista // Enemiga del sistema capitalista hasta que entré al Tiger.</t>
  </si>
  <si>
    <t>fernando sancho</t>
  </si>
  <si>
    <t>Parece que esta noche Tv3 va a generar 200.000 nuevos votantes de @vox_es tras programar un documental con el ánimo de desacreditar a @Santi_ABASCAL RT @CCivicaCatalana: Varapalo a TV3 y al progre Buenafuente por trampas laborales. Deberán indemnizar a varios trabajadores.</t>
  </si>
  <si>
    <t>https://twitter.com/CCivicaCatalana/status/1069716691578437632
https://www.economiadigital.es/directivos-y-empresas/un-juez-condena-a-tv3-y-buenafuente-por-sus-trampas-laborales_591977_102.html?fbclid=IwAR128sJ_obZrP1HzmtQhB5a-j2chmmMOd3DfDg7vdBnvdyh35uTUd6LGDS0</t>
  </si>
  <si>
    <t>zaragoza</t>
  </si>
  <si>
    <t>director de La8Zaragoza TV</t>
  </si>
  <si>
    <t>Álvaro Villalobos</t>
  </si>
  <si>
    <t>Pedro @sanchezcastejon dice que hay muchos votantes de derecha "que ven en @Santi_ABASCAL un referente que ya no ven en @pablocasado_ " RT @sanchezcastejon: En unos minutos estaré en directo en @informativost5, junto a Pedro Piqueras. Os espero a las 21h.⬇️</t>
  </si>
  <si>
    <t>https://twitter.com/sanchezcastejon/status/1070042896198361088
https://twitter.com/informativost5/status/1070027729406451712</t>
  </si>
  <si>
    <t>Periodista de AFP en Madrid y autor de la novela "El tiro por la culata", en http://www.editorialsamarcanda.com Mis opiniones son sólo mías. RTs are not endorsements</t>
  </si>
  <si>
    <t>http://www.afp.com</t>
  </si>
  <si>
    <t>Sentido Común</t>
  </si>
  <si>
    <t>Estamos impacientes por ver a @Santi_ABASCAL en el @Congreso_Es cuando le diga verdades como puños al Presidente Cum Fraude. #SanchezT5</t>
  </si>
  <si>
    <t>«Para que triunfe el mal, sólo es necesario que los buenos no hagan nada» (Edmund Burke)</t>
  </si>
  <si>
    <t>Estólidos, marrulleros, demagogos, abrazafarolas, mentecatos, zarrapastrosos, haraganes, facinerosos, bellacos, bucéfalos, baladrones, faramallas, felones.. + has llamado todo eso a @pnique ??? -Yo?? Para nada! que me registren! PD: se te ha olvidado etiquetar a @Santi_ABASCAL 😉 RT @pnique: - Abascal es fascista. + ¡Ha llamado fascistas a los votantes de Vox! - Abascal dice que siempre lleva pistola. + ¡Ha acusado a los votantes de Vox de llevar pistola! - Abascal se apellida Abascal. + ¡Dice que los votantes de Vox se apellidan Abascal! Así está el nivel. 🙈</t>
  </si>
  <si>
    <t>Madre mía lo que acaba de hacer Pedro Sánchez, madre mía. Dice que ante la falta de liderazgo de Casado, la gente se ha fijado en @Santi_ABASCAL. Abascal es, de facto, la oposición del PSOE para el presidente del gobierno.</t>
  </si>
  <si>
    <t>Esa soy yo</t>
  </si>
  <si>
    <t>Ayer al volver a casa x resolana hubiera dado cualquier cosa x un Delorian en un lugar de un Renault y haber mandado a los chavales a los años de plomo que vivió @Santi_ABASCAL a su edad y de vuelta al Arco una parada por el zulo de Mondragón</t>
  </si>
  <si>
    <t>pic.twitter.com/BakxMuItne</t>
  </si>
  <si>
    <t>madre de hijos varones, harta del feminismo subvencionado, de cuotas, y de lo políticamente correcto</t>
  </si>
  <si>
    <t>Aristides</t>
  </si>
  <si>
    <t>Se necesita un @Santi_ABASCAL en Venezuela y en Colombia urgentemente...</t>
  </si>
  <si>
    <t>Colombia</t>
  </si>
  <si>
    <t>Un ciudadano común y corriente</t>
  </si>
  <si>
    <t>M Angel - Hablamos Español</t>
  </si>
  <si>
    <t>Acabo de ver en informativo de @A3Noticias la respuesta de @Pablo_Iglesias a @Santi_ABASCAL sobre responsabilidad de las algaradas de ayer. Lamentable el #MarquesdeGalapagar y peor aún @A3Noticias sacando una información vomitiva. Sobran las palabras sobre lo que está pasando.</t>
  </si>
  <si>
    <t>#FUERAAUTONOMIAS. España Estado unitario como Francia y Portugal, por ejemplo. Igualdad derechos y deberes de todos los españoles, sin importar dónde vivan.</t>
  </si>
  <si>
    <t>Mensaje de Pedro Sánchez a sus socios golpistas: -O me salváis el culo ya u os entrego a los pies de @Santi_ABASCAL</t>
  </si>
  <si>
    <t>https://pbs.twimg.com/media/DtmXM4pWsAAx4qW.jpg</t>
  </si>
  <si>
    <t>No creo que 4 piquetes de instituto instigados desde Galapagar consiguan amedrentar a @Santi_ABASCAL a estas alturas.</t>
  </si>
  <si>
    <t>Manu Martin</t>
  </si>
  <si>
    <t>Estos de @vox_es @Santi_ABASCAL la ultraderecha, los fascistas se les estan yendo la cabeza... nada que ver con los democratas de podemos... donde va a parar... 😒RT @josepramonbosch: El alcalde Kichi de @ahorapodemos en Cádiz le dice a un juez que “La próxima visita será con dinamita”. Ellos son los únicos demócratas, antifascistas y moderados, el resto todos somos “fachas”</t>
  </si>
  <si>
    <t>https://twitter.com/josepramonbosch/status/1069958392578535424?s=21</t>
  </si>
  <si>
    <t>San Lorenzo, Sevilla</t>
  </si>
  <si>
    <t>Sevillano, cofrade, costalero, sevillista y muero con mi chiqui, mi familia, mis amigos y en Cadi y su carnaval</t>
  </si>
  <si>
    <t>𝕮𝖆𝖗𝖑𝖔𝖘 𝕵𝖎𝖒é𝖓𝖊𝖟</t>
  </si>
  <si>
    <t>Santi Abascal defenderá a la clase trabajadora. Él nunca ha trabajado, así que algún tonto últil tendrá que haber para que él pueda seguir viviendo del cuento.</t>
  </si>
  <si>
    <t>https://pbs.twimg.com/media/Dtk--mMWkAAvLb3.jpg</t>
  </si>
  <si>
    <t>Redactor http://LosOtros18.com y http://Vavel.com Subdirector Diario de Málaga. Malagueño, andaluz, futbolero, malaguista, runner, motero, piloto...</t>
  </si>
  <si>
    <t>http://www.losotros18.com/liga-bbva/malaga/</t>
  </si>
  <si>
    <t>Chris López</t>
  </si>
  <si>
    <t>No sabemos cuando, pero tenedlo por seguro, os van a caer hostias como no os las han dado en vuestra puta vida, subnormales de los cojones. Sois un puto atraso para la humanidad @FSerranoCastro @Santi_ABASCAL @vox_es</t>
  </si>
  <si>
    <t>✒💡Escritor underground y estudiante de Filosofía. Autor de 🌌La Década de los Rabiosos🌌 (link con todos los detalles) Destrucción de lo Convencional</t>
  </si>
  <si>
    <t>https://www.amazon.es/Década-los-Rabiosos-Caligrama/dp/8417533044/ref=sr_1_1?ie=UTF8&amp;qid=1539595431&amp;</t>
  </si>
  <si>
    <t>Fernando Migallón</t>
  </si>
  <si>
    <t>Y aquí un resumen de la nueva esperanza española de #Vox @Santi_ABASCAL //</t>
  </si>
  <si>
    <t>Life is like riding a bicycle. To keep your balance you must keep moving. ~ Albert Einstein ~ IPhone 6S // Sony DSC RX100 📍 Madrid</t>
  </si>
  <si>
    <t>https://www.twitter.com/ferkabra</t>
  </si>
  <si>
    <t>Ánimo @Santi_ABASCAL ánimo VOX @vox_es @voxnoticias_es @Ortega_Smith @monasterioR @FSerranoCastro etc., estos fascistas antidemócratas no podrán con la #EspañaViva Ni un paso atrás. Estos antipatrias no saben lo que llevamos en las venas desde cuentos de años ... Viva España 🇪🇸 RT @vox_es: A los que pretenden amedrentar a nuestro presidente @Santi_ABASCAL con noticias falsas, insultos, etiquetas... les recordamos su pasado. Lo tenéis difícil ⤵</t>
  </si>
  <si>
    <t>https://twitter.com/vox_es/status/1070033239455207424
https://twitter.com/COPE/status/1070016631009632261</t>
  </si>
  <si>
    <t>Resistencia Aljarafe</t>
  </si>
  <si>
    <t>Caramba. ¿Entonces no es cierto lo que dicen los progres de Santi Abascal? ¿No era un vividor que disfrutaba el chollazo de ser concejal del PP en las vascongadas aquellos años en los que podía costar la vida? RT @vox_es: A los que pretenden amedrentar a nuestro presidente @Santi_ABASCAL con noticias falsas, insultos, etiquetas... les recordamos su pasado. Lo tenéis difícil ⤵</t>
  </si>
  <si>
    <t>Creo que Echenique es un topo de @vox_es dentro d @ahorapodemos Desde el 2D solo twittea sin control de @Santi_ABASCAL y cada vez que suelte una de sus ocurrencias, sin gracia, suben los militantes de @voxnoticias_es como la espuma. RT @pnique: - Abascal es fascista. + ¡Ha llamado fascistas a los votantes de Vox! - Abascal dice que siempre lleva pistola. + ¡Ha acusado a los votantes de Vox de llevar pistola! - Abascal se apellida Abascal. + ¡Dice que los votantes de Vox se apellidan Abascal! Así está el nivel. 🙈</t>
  </si>
  <si>
    <t>En La Frontera</t>
  </si>
  <si>
    <t>Hay una España para la que los valores públicos no son relevantes. @MonederoJC está desmontando a @vox_es y a @Santi_ABASCAL en #ELFAbascal. Síguelo aquí en directo:</t>
  </si>
  <si>
    <t>https://bit.ly/2rhvEgw</t>
  </si>
  <si>
    <t>https://pbs.twimg.com/media/DtmTT-mU0AAsCMB.jpg</t>
  </si>
  <si>
    <t>Late night presentado por Juan Carlos Monedero en @publico_es. De lunes a jueves a las 20:45 h.</t>
  </si>
  <si>
    <t>http://www.publico.es/publico-tv/</t>
  </si>
  <si>
    <t>Yo-tube</t>
  </si>
  <si>
    <t>Dos conceptos totalmente opuestos de lo que, uno que ha nacido en España @Pablo_Iglesias_ y un español @Santi_ABASCAL, quieren para nuestro país. Pasen y vean.</t>
  </si>
  <si>
    <t>pic.twitter.com/5W5n1QmCtP</t>
  </si>
  <si>
    <t>centrado, contra dictaduras y tiranías, anti-feminismo, anti-homófobo, anti-misógino, anti-misándrico. #BoicotRTVE 🇪🇸</t>
  </si>
  <si>
    <t>Ahora la cínica invita a @Santi_ABASCAL .Hoy se hinchó atacando a @vox @Santi_ABASCAL la va a poner en su sitio. RT @anarosaq: Mañana en @elprogramadear la primera entrevista en televisión de @Santi_ABASCAL . Son muchas las preguntas para el lider de @vox_es . La sorpresa en la política española.</t>
  </si>
  <si>
    <t>Pasalo y Divulga</t>
  </si>
  <si>
    <t>Un excelente artículo sobre el fenómeno d @vox_es y @Santi_ABASCAL . Vox ‘Lo logramos porque no sabíamos que era imposible’ #EleccionesAndalucía #Masby ►  … vía @JVSantacreu</t>
  </si>
  <si>
    <t>Somos una agencia libre de divulgación de noticias. Si nos sigues, divulgaremos las noticias que nos envies.</t>
  </si>
  <si>
    <t>Cuánta verdad!! @AZapata89 @vox_es @Santi_ABASCAL RT @AZapata89: @vox_es Pierden unas elecciones democráticamente y salen a la calle a liarla. Es lo que tiene el comunismo o ganan o te revientan las calles</t>
  </si>
  <si>
    <t>https://twitter.com/azapata89/status/1069694882627903488</t>
  </si>
  <si>
    <t>ESTÁ CLARO | Cualquiera de estos tres líderes que "falle" en el desalojo del @PSOE de la Junta de Andalucía después de 40 años de compadreo se verá inexorablemente ligado a una pérdida de electorado brutal. @pablocasado_ @Albert_Rivera @Santi_ABASCAL #eleccionesandaluzas2018</t>
  </si>
  <si>
    <t>https://pbs.twimg.com/media/DtmRP07W4AIpIRQ.jpg</t>
  </si>
  <si>
    <t>Decidme que no os gustaría ver un cara a cara entre @Santi_ABASCAL y @gabrielrufian</t>
  </si>
  <si>
    <t>Más comentados ahora en Derecha/Centro Dcha.: ➀ @Santi_ABASCAL ↓ ➁ @sanchezcastejon ↑ ➂ @ldpsincomplejos ↓ ➃ @PSOE ↓ ➄ @ivanedlm ↑↑ ➅ @Miotroyo2parte ↑ ➆ @ahorapodemos ↓ ➇ @susanadiaz ↓ ➈ @PPopular ↓ ➉ @Lamismamente ↓</t>
  </si>
  <si>
    <t>Bravo Anguita @Pablo_Iglesias_ @Albert_Rivera @Santi_ABASCAL @EspejoPublico @ElCascabelTRECE @pablocasado_ Creo que deberíais invitarle a tertulias,es un auténtico Salomón No os perdáis esto DIFUNDE @Miotroyo2parte @_SantosTrinidad @AntonioRNaranjo @javiernegre10 @CristinaSegui_ RT @yolandacmorin: Aquí Julio Anguita dando una lección magistral de política...</t>
  </si>
  <si>
    <t>https://twitter.com/yolandacmorin/status/1070041519766286336</t>
  </si>
  <si>
    <t>pic.twitter.com/qKo9SwmJUT</t>
  </si>
  <si>
    <t>Más influyentes ahora en Derecha/Centro Dcha.: ➀ @Santi_ABASCAL ↓ ➁ @ldpsincomplejos ↓ ➂ @ivanedlm ↑↑ ➃ @Miotroyo2parte ↑ ➄ @Lamismamente ↓ ➅ @hermanntertsch ↑↑ ➆ @EdurneUriarte ↑ ➇ @ooCarrillo ↑ ➈ @libertaddigital ↑</t>
  </si>
  <si>
    <t>Juanxito_9</t>
  </si>
  <si>
    <t>A ver cuándo desmentís esto, porque ya tanta manipulación cansa. Vox no es un partido ni racista ni homófobo. @vox_es @Santi_ABASCAL @Ortega_Smith @vox_barcelona @madrid_vox</t>
  </si>
  <si>
    <t>https://pbs.twimg.com/media/DtmQiX7W4AE6t_r.jpg</t>
  </si>
  <si>
    <t>@Atleti y @Nacional del @Chino_recoba20 @diegogodin @josemagimenez13 @Torres @Simeone Soy @Juanxito_9 seguirme!!!</t>
  </si>
  <si>
    <t>Sergio llarena ramos</t>
  </si>
  <si>
    <t>Esta mujer como siempre cubriéndose de gloria.... lo más Intransigente, extremista e intolerante que he visto en la TV. @Santi_ABASCAL @vox_es , vamos que “podemos” 💪🏻💪🏻💪🏻🇪🇸🇪🇸 RT @javiernegre10: Ayer pedí en @yaesmediodiatv en @telecincoes que se dejase de insultar a @Santi_ABASCAL y a los votantes de @vox_es . Si entendemos que @ahorapodemos no es ultraizquierda, ellos no son ultraderecha. Y léanse su programa antes de adjetivar.Atentos a la respuesta de @LaFallaras</t>
  </si>
  <si>
    <t>Las Palmas de Gran Canaria, España</t>
  </si>
  <si>
    <t>Hola @Santi_ABASCAL palabras más repetidas en tweets con cabreo últimas 24h</t>
  </si>
  <si>
    <t>https://pbs.twimg.com/media/DtmQdElWwAIea_C.jpg</t>
  </si>
  <si>
    <t>Que Santi Abascal demande la detención de Torra tras las andaluzas es como si te contratan de frutero y convocas una rueda de prensa para exigir que se prohiban los tomates en nombre de la autoridad que ahora ostentas.</t>
  </si>
  <si>
    <t>Himilce</t>
  </si>
  <si>
    <t>Ladran, luego cabalgamos. Ánimo a todos #VOXAvanza @Santi_ABASCAL @Ortega_Smith</t>
  </si>
  <si>
    <t>El Palmar, Murcia</t>
  </si>
  <si>
    <t>Digo lo que me parece, paso de corrección política</t>
  </si>
  <si>
    <t>M. Rajoy 🇧🇪 🇷🇺</t>
  </si>
  <si>
    <t>El tal @Igarrigavaz y @monasterioR son la cuota de @Santi_ABASCAL y @vox_es para que sus hordas nazis puedan decir que ellos ya cumplen con el cupo de representación... pese a la #sobredosis de #machirulos #trasnochados del sXII que tienen #VOXilegalización #VOXmitando RT @eslatarde: 📻Dieter entrevista a Ignacio Garriga de @vox_es : ¿Usted donde nació? -En Barcelona ¿Su familia vino de otro país? -Mi madre es de Guinea ¿De qué color es su piel? -Soy mulato Siendo catalán, de familia de inmigrantes y negro, ¿qué hace usted en Vox? -Mejorar mi nación</t>
  </si>
  <si>
    <t>https://twitter.com/eslatarde/status/1069976333038571521</t>
  </si>
  <si>
    <t>Barcelona, Palestine</t>
  </si>
  <si>
    <t>Experimento twitterológico • Hic et nunc Facta, non verba • Ni dios, ni patria, ni bandera</t>
  </si>
  <si>
    <t>🇧🇪 CDR Léo Taxil 🇧🇪</t>
  </si>
  <si>
    <t>.@Santi_ABASCAL Cuando Catalunya sea independiente pise Catalunya que será inmediatamente detenido, fascista de mierda. Puta escòria ultra espanyola!</t>
  </si>
  <si>
    <t>https://www.elnacional.cat/ca/politica/abascal-vox-detencio-torra_331380_102.html</t>
  </si>
  <si>
    <t>Catalunya. Flandes</t>
  </si>
  <si>
    <t>X distant. Abandonat per l'inconscient i idiota de l'escola svejkiana. Rebel amb causa. La gran novel·la catalana http://lagrannovelacatalana.wordpress.com</t>
  </si>
  <si>
    <t>https://leotaxil.wordpress.com/</t>
  </si>
  <si>
    <t>Naele02</t>
  </si>
  <si>
    <t>Hay que tener poca vergüenza, no te interesa decir porque @Santi_ABASCAL lleva pistola, verdad? yo te lo digo, por las amenazas de muerte de esa gente tan maja, hombres de paz que mataban por ideas y por profesión. RT @pnique: Pablo Casado y Albert Rivera dicen que los que subimos el salario mínimo a 900€ somos los peligrosos. Que ellos van a gobernar en Andalucía con gente muy maja cuyo líder lleva pistola y es apoyado por los que asesinan gente por el color de su piel.</t>
  </si>
  <si>
    <t>Me gusta saber de todo en esta vida: amor, animales, deportes, fútbol, noticias, sucesos,..... 🇪🇸❤️🧡❤️</t>
  </si>
  <si>
    <t>Y le van a hablar a Abascal sobre anticonstitucionalismos!!! El siempre a tenido claro en qué lado estar. En qué lado están los demás??? #EspañaViva @Santi_ABASCAL "Abascal Pim, Pam, Pum": el día que el líder de Vox fue golpeado y escupido por batasunos</t>
  </si>
  <si>
    <t>Si según la secta el éxito de @vox_es es por las redes, se deduce que: -La izquierda con todos los trolles a su disposición, son negados hasta para eso.. -La derecha somos unos cracks informáticos y @Santi_ABASCAL un genio -En la secta son tontos de baba y mienten más que hablan. RT @qqqqetru: Estoy viendo la secta y dicen que el exito de VOX es por la redes sociales, si eso fuera verdad la izquierda mandaria en españa con mayoria, que poco cerebro tienen esta gente</t>
  </si>
  <si>
    <t>https://twitter.com/qqqqetru/status/1070041186541465605</t>
  </si>
  <si>
    <t>C's @CiudadanosCs «roba» diez escaños al @PSOE, y @vox_es se queda con seis del @PPopular 👉 El partido de @Santi_ABASCAL es la opción preferida, según @GAD3_com, entre los nuevos electores y abstencionistas  vía @ABCespana</t>
  </si>
  <si>
    <t>https://www.abc.es/espana/abci-ciudadanos-roba-diez-escanos-psoe-y-queda-seis-pp-201812032118_noticia.html#ns_campaign=amp-rrss-inducido&amp;ns_mchannel=abc-es&amp;ns_source=tw&amp;ns_linkname=noticia.video&amp;ns_fee=0</t>
  </si>
  <si>
    <t>Josep L Romero</t>
  </si>
  <si>
    <t>Maeeee miaaaa...!!! Los fans de Santi Abascal!!!</t>
  </si>
  <si>
    <t>https://m.eldiario.es/rastreador/Klux-Klan-Vox-Reconquista-Andalucia_6_842775724.html</t>
  </si>
  <si>
    <t>Procura que tus palabras no sean amargas, porque quizás algún día tengas que tragartelas!</t>
  </si>
  <si>
    <t>Hostia lo de #Dinamarca y su isla para inmigrantes es la polla, ya. Ya veréis lo que tarda el Frente Fachetico d @pablocasado_ @Albert_Rivera y @Santi_ABASCAL en querer mandar a los inmigrantes q hay en Andalucia a "Perejil"  #PararElMundoQueMeBajo</t>
  </si>
  <si>
    <t>https://es.noticias.yahoo.com/el-plan-de-dinamarca-para-aislar-los-inmigrantes-que-no-quiere-en-una-isla-diminuta-110954009.html</t>
  </si>
  <si>
    <t>Según @MVTARDE la culpa del auge de VOX y @Santi_ABASCAL la tienen los memes de las redes sociales que usan de cebo, pero del femicomunismo podemita de Twitter no dicen nada. No os enteráis de nada ni de por donde os da el aire.</t>
  </si>
  <si>
    <t>https://pbs.twimg.com/media/DtmNmgNXgAA21XL.jpg</t>
  </si>
  <si>
    <t>Daniel España</t>
  </si>
  <si>
    <t>A ver si me entero. En 2003 los etarras querian matar a @Santi_ABASCAL por ser concejal del pp, en 2018 lo quiere matar la ultra izquierda podemita por crear @vox_es. Ambos aliados. Y resulta que en todos los telediarios el malo es @Santi_ABASCAL. Estan enfermos y lo sabemos.</t>
  </si>
  <si>
    <t>Descendiente de Legionarios Romanos y Reconquistadores. Con su sangre a torrentes vertida, dio a la patria el preciado blasón.</t>
  </si>
  <si>
    <t>.@Santi_ABASCAL al q la izquierda y la extremaizquierda llaman ultraderecha.Q añoranza ver el logo de un @tve_tve al servicio de ESPAÑA y no como ahora al servicio del comunismo.Algún día serás mi presidente, algún día España estará en tus manos y nadie mejor q tú para defenderla</t>
  </si>
  <si>
    <t>pic.twitter.com/3CLM8Mur17</t>
  </si>
  <si>
    <t>Sergio Delgado</t>
  </si>
  <si>
    <t>#FrenarElFascismo Un poco de humor ante tanta oscuridad... @susanadiaz @sanchezcastejon @Santi_ABASCAL</t>
  </si>
  <si>
    <t>https://pbs.twimg.com/media/DtmMiYNW0AIM1jP.jpg</t>
  </si>
  <si>
    <t>Periodista, europeísta y animalista. Las opiniones en Twitter dependen en ocasiones de mi estado de ánimo, poco más.</t>
  </si>
  <si>
    <t>Sandía</t>
  </si>
  <si>
    <t>Me dice mi hermano que si conozco a Santi Abascal Y YO QUE COÑO SE solo se que Vox es un partido de mierda me la suda quien sea el líder</t>
  </si>
  <si>
    <t>Fuenlabrada, España</t>
  </si>
  <si>
    <t>Welcome to my disaster. Ambiciosa pero perezosa. Dicen que estudio comunicación audiovisual 🤷🏽‍♀️. Natural conquense viviendo en Fuenlabrada🔥 🏳️‍🌈 💜</t>
  </si>
  <si>
    <t>🇪🇸✌️ #EspañaViva #VOXútil Ahora más que nunca me siento super orgullosa de ver la reacción de los andaluces Valientes y de todos los que seguro van a seguir su ejemplo. Somos 1, una bandera, una nación, un futuro y una lección de amor a España y a los españoles @Santi_ABASCAL RT @vox_es: A los que pretenden amedrentar a nuestro presidente @Santi_ABASCAL con noticias falsas, insultos, etiquetas... les recordamos su pasado. Lo tenéis difícil ⤵</t>
  </si>
  <si>
    <t>Rodrigo Pérez de Guzmán</t>
  </si>
  <si>
    <t>Cuando @Santi_ABASCAL les llama "la veleta naranja" es por algo. Se mueven sin cabeza, sólo por el viento... RT @CastigadorY: Ciudadanos pide la Junta a PP y PSOE porque sino se dará "la llave" a Vox, el partido de Rivera deja claro que prefiere decantarse hacia la izquierda corrupta y dar de lado a 400000 personas que han votado cambio con VOX, habéis estafado a los Andaluces.</t>
  </si>
  <si>
    <t>https://twitter.com/CastigadorY/status/1070009236128784385
https://www.elperiodico.com/es/politica/20181204/ciudadanos-pide-junta-andalucia-pp-psoe-llave-vox-7183248?utm_source=twitter&amp;utm_medium=social</t>
  </si>
  <si>
    <t>Madrid o Cádiz, depende. 🇪🇸</t>
  </si>
  <si>
    <t>Con 4 líneas no tengo ni para empezar.</t>
  </si>
  <si>
    <t>https://instagram.com/arte_arquitectura_museos?utm_source=ig_profile_share&amp;igshid=1cg4p6qkbuct7</t>
  </si>
  <si>
    <t>LaMariMalaEs#PAZ</t>
  </si>
  <si>
    <t>David Duke, supremacista, líder del Ku Klux Klan en los 70, felicitando a @vox_es por sus 12 escaños. La "Reconquista" empieza en Andalucía... 💃 En fin, que Duke se ha confundido, ni que @Santi_ABASCAL y @vox_es fuesen de extrema derecha. Hombre ya... 🤦‍♀️ RT @DrDavidDuke: 🔴🗳️ VOX triumphs in Andalusia! 12 seats and the end of the socialist regime 🇪🇸 #EspañaViva makes it history and shows that change is possible. The Reconquista begins in the Andalusian lands and will be extended in the rest of Spain 📣 #AndalucíaPorEspaña</t>
  </si>
  <si>
    <t>https://twitter.com/DrDavidDuke/status/1069370522000130049
https://twitter.com/voxnoticias_es/status/1069342275048742912</t>
  </si>
  <si>
    <t>#15M #sisepuede #15M</t>
  </si>
  <si>
    <t>Si te dice que te quiere, que te diga para qué. Estoy madurando, disculpen las molestias.</t>
  </si>
  <si>
    <t>Esto es lo que se encontraba en clase @Santi_ABASCAL. Ahora le llaman inconstitucional los del PSOE, que gobiernan gracias a los que secuestraron a Ortega Lara y le amenazaron de muerte a él y a su familia. Lo peor de todo es que el PP y Cs no le sacan la cara.</t>
  </si>
  <si>
    <t>https://pbs.twimg.com/media/DtmLAzhW0AA1_5G.jpg</t>
  </si>
  <si>
    <t>Buenas noches VOX desde Huelva un cordial saludo. de un afiliado a VOX A los pretenden amedrentar a nuestros presidente @Santi_Abascal con noticias falsas , insultos etiquetan ... les condenamos su pasado. Lo tenéis dificil RT @vox_es: A los que pretenden amedrentar a nuestro presidente @Santi_ABASCAL con noticias falsas, insultos, etiquetas... les recordamos su pasado. Lo tenéis difícil ⤵</t>
  </si>
  <si>
    <t>Mariano Llorente</t>
  </si>
  <si>
    <t>Últimamente veo a VOX en todos los sitios... Tienen ya hasta un vodka y yo sin enterarme, este @Santi_ABASCAL sí que sabe... aunque yo soy más de Vino.</t>
  </si>
  <si>
    <t>https://pbs.twimg.com/media/DtmKfV4W0AALE08.jpg</t>
  </si>
  <si>
    <t>Presidente del Club CEO España - Premium Networker - Business Developer, asesor de CEOs.</t>
  </si>
  <si>
    <t>http://www.clubceo.es</t>
  </si>
  <si>
    <t>Este vídeo de ETA (los amigos de Podemos, Pablo Iglesias e Independentistas) amenazando de muerte y agrediendo a @Santi_ABASCAL es para que algunos se replanteen quienes son los que llevan el peligro y los que no respetan la democracia</t>
  </si>
  <si>
    <t>Viejo taurino</t>
  </si>
  <si>
    <t>Yo estoy hasta los mismísimos cojones q las fascistas comunistas d extrema izquierda, los cachorros del millonario @Pablo_Iglesias_ @Podemos_AND @ahorapodemos me insulten, no se si alguno de ustedes les pasara igual, hasta la polla estoy.@Santi_ABASCAL @vox_es</t>
  </si>
  <si>
    <t>Torero de vocacion y de corazon,una vida entera ligada al mundo del toro, de izquierdas hasta que me hicieron de derechas los actuales “políticos de izquierdas”</t>
  </si>
  <si>
    <t>El pueblo español esta harto de los políticos del Sistema y ha encontrado en @vox_es la alternativa para la rebelión de las clases medias y trabajadoras, mientras unos roban y otros tratan de romper España a pedazos. Y @Santi_ABASCAL debe liderar la revolución de los patriotas.</t>
  </si>
  <si>
    <t>Sergio Heras</t>
  </si>
  <si>
    <t>Que haces ahí? 🤷🏻‍♂️ @Santi_ABASCAL</t>
  </si>
  <si>
    <t>https://pbs.twimg.com/media/DtmIRf3W4AA9UaY.jpg</t>
  </si>
  <si>
    <t>No hay hechos eternos ni verdades absolutas...</t>
  </si>
  <si>
    <t>Aquí tenéis a Santi Abascal con poco más de veinte años y dos cojones. Sólo él y un compañero se atreven a plantar cara a unos expresidiarios de ETA. El de rojo es D. Santiago Abascal</t>
  </si>
  <si>
    <t>Gary_Oak</t>
  </si>
  <si>
    <t>Para cuando una manifestación en contra de la manipulación de los medios de comunicación @Santi_ABASCAL ??</t>
  </si>
  <si>
    <t>Ro 🧸</t>
  </si>
  <si>
    <t>“La reconquista empieza por andalucia” Esto lo dice un yihadista y todo normal , lo dice @Santi_ABASCAL que es español y os acojonais vivos . Creo que ese día no fui a clase 🤷🏻‍♀️</t>
  </si>
  <si>
    <t>80% ☕️ + 20% ❤️</t>
  </si>
  <si>
    <t>https://www.instagram.com/ginesestyle/</t>
  </si>
  <si>
    <t>TROMPETA..7⏳</t>
  </si>
  <si>
    <t>Santi Abascal responsabiliza a Pablo Iglesias de todos los ataques que sufra VOX</t>
  </si>
  <si>
    <t>https://www.youtube.com/attribution_link?a=ddDZt4W5lKM&amp;u=%2Fwatch%3Fv%3DGqZfg8EayrQ%26feature%3Dshare</t>
  </si>
  <si>
    <t xml:space="preserve">Barcelona. España </t>
  </si>
  <si>
    <t>Nunca lleves tus mejores pantalones cuando salgas a luchar por la paz y la libertad</t>
  </si>
  <si>
    <t>Ana Rosa Quintana</t>
  </si>
  <si>
    <t>pasión por el periodismo, la familia y los amigos. @elprogramadear</t>
  </si>
  <si>
    <t>Pop84</t>
  </si>
  <si>
    <t>Hace falta ser miserable para tachar de fascista a @Santi_ABASCAL. Cuando lo fácil era mirar hacia otro lado se jugó la vida y decidió que su vida sería mirar debajo del coche todos los días porque pensaba distinto que los asesinos de ETA. @vox_es viene para quedarse. RT @COPE: "@Santi_ABASCAL Pim, Pam, Pum": el día que el líder de @Vox_es, amenazado tanto él como su familia por ETA, fue golpeado y escupido por batasunos</t>
  </si>
  <si>
    <t>Israel López</t>
  </si>
  <si>
    <t>Mañana, primera entrevista en @elprogramadear con @Santi_ABASCAL tras las elecciones andaluzas con @anarosaq</t>
  </si>
  <si>
    <t>https://www.formulatv.com/noticias/el-programa-de-ana-rosa-lider-vox-primera-entrevista-ana-rosa-quintana-86683/</t>
  </si>
  <si>
    <t>Periodista de 'El programa de AR' israel.lopeztv@gmail.com Instagram: @lopezisrael</t>
  </si>
  <si>
    <t>A los que pretenden amedrentar a nuestro presidente @Santi_ABASCAL con noticias falsas, insultos, etiquetas... les recordamos su pasado. Lo tenéis difícil ⤵ RT @COPE: "@Santi_ABASCAL Pim, Pam, Pum": el día que el líder de @Vox_es, amenazado tanto él como su familia por ETA, fue golpeado y escupido por batasunos</t>
  </si>
  <si>
    <t>Ahora @Santi_ABASCAL está con el guapo subido</t>
  </si>
  <si>
    <t>https://www.elindependiente.com/politica/2018/12/04/abascal-cerraria-ya-canal-sur-detendria-torra/</t>
  </si>
  <si>
    <t>€ Juanma López Zafra</t>
  </si>
  <si>
    <t>Yo soy Santi Abascal y, después de todo lo que le han dicho, aprovecho el tirón y salgo con esto a todo volumen en cada mitin jajajaja Ultravox -- Hymn  vía @YouTube</t>
  </si>
  <si>
    <t>https://youtu.be/LzgFKNb8VOc</t>
  </si>
  <si>
    <t>Madrid, or so...</t>
  </si>
  <si>
    <t>No es la corrupción, es su reparto. CUNEF. Statpro2000. Retorno al @PatronOro, Deusto. Y data science aplicado al deporte en @sportsmetrica | Beyond passion.</t>
  </si>
  <si>
    <t>http://www.elconfidencial.com/opinion/big-data/</t>
  </si>
  <si>
    <t>lunadelsur51</t>
  </si>
  <si>
    <t>Por eso Aznar, financiaba a Santi Abascal, a Cs, y a La Fundación Francisco Franco. Mientras iban de "centraditos", Necesitaban a La Extrema Derecha para Asaltar El Poder. Felipe González, fue El V Elemento necesario, para mantener vivo El Fascifranquismo en España otros 80 años. RT @unaltredelleida: @LekaconK Es el proyecto de J.M.Aznar y FelipeGX .</t>
  </si>
  <si>
    <t>https://twitter.com/unaltredelleida/status/1069966106276831232</t>
  </si>
  <si>
    <t>República Catalana (Europe)</t>
  </si>
  <si>
    <t>Historiadora-Antropóloga. Doctoranda en Antropolgía Social y Cultural. Andaluza, viviendo en Cataluña¡Por Una República Democrática de Mujeres y Hombres Libres!</t>
  </si>
  <si>
    <t>http://es.followfriday.com/followfriday/lunadelsur2012</t>
  </si>
  <si>
    <t>Lechu</t>
  </si>
  <si>
    <t>Pero, @Santi_ABASCAL, si luchas contra el narcotráfico, ¿quién te va a pasar la coquita? :(</t>
  </si>
  <si>
    <t>vostok I</t>
  </si>
  <si>
    <t>Small data doctor.</t>
  </si>
  <si>
    <t>http://paypal.me/lexufistro</t>
  </si>
  <si>
    <t>Más comentados ahora en Derecha/Centro Dcha.: ➀ @Santi_ABASCAL ↓ ➁ @ldpsincomplejos ↓ ➂ @sanchezcastejon ↓ ➃ @susanadiaz ↑ ➄ @PPopular ↑ ➅ @PSOE ↑ ➆ @vox_es ↑ ➇ @ahorapodemos ↑ ➈ @Lamismamente ↑ ➉ @CiudadanosCs ↑</t>
  </si>
  <si>
    <t>Nacho DDP</t>
  </si>
  <si>
    <t>Un equipo de investigación sacará mañana a la luz una exclusiva en @publico_es de la que solo puedo adelantar uno de sus descubrimientos que harán temblar el panorama político español.Según fuentes de toda solvencia, @Santi_ABASCAL asesinó con sus propias manos a la mamá de Bambi</t>
  </si>
  <si>
    <t>La inseguridad, lo único constante entre nosotros (Galdós) Licenciado en Historia y Documentación. Bibliotecario. Padre de 3 hijos</t>
  </si>
  <si>
    <t>http://blogdenachodiazdelgado.blogspot.com</t>
  </si>
  <si>
    <t>Más influyentes ahora en Derecha/Centro Dcha.: ➀ @Santi_ABASCAL ↓ ➁ @ldpsincomplejos ↓ ➂ @Lamismamente ↑ ➃ @Miotroyo2parte ↓ ➄ @Albert_Rivera ↑ ➅ @AntonioRNaranjo ↑ ➆ @WillyTolerdoo ↓ ➇ @EdurneUriarte ↓ ➉ @ivanedlm ↑</t>
  </si>
  <si>
    <t>Edgardo Oviedo</t>
  </si>
  <si>
    <t>Hoy los compañeros de @MalditoDato han publicado las respuestas de la administración ante preguntas sobre el pasado político de @Santi_ABASCAL. #KuKluxVoxPTV</t>
  </si>
  <si>
    <t>Escritor, periodista,traductor, guionista, docente: Superviviente. No sigo porque me sigan. Sorry, I don´t follow everybody that follow me.</t>
  </si>
  <si>
    <t>Público</t>
  </si>
  <si>
    <t>https://pbs.twimg.com/media/DtmCNARVYAAZ17m.jpg</t>
  </si>
  <si>
    <t>Twitter oficial del Diario Público. @Memoria_Publica @TodasPublico @pub_sinmordazas @yoanimal_p @tremending</t>
  </si>
  <si>
    <t>http://www.publico.es</t>
  </si>
  <si>
    <t>Votar al #honrado, al #ladrón no lo voteis aunque tenga la #hoz y el martillo #PensamientoDeIzquierda ¡Pues eso @vox_es! #EspañaViva 🇪🇸 @Santi_ABASCAL @monasterioR @ivanedlm @FSerranoCastro @AbeInfanzon @JOSEMANUELSOTO1 @voxjovenes @voxnoticias_es @Alternativa_VOX @PioMoa1 ✌🏻</t>
  </si>
  <si>
    <t>pic.twitter.com/38df6fbPyp</t>
  </si>
  <si>
    <t>Maraba</t>
  </si>
  <si>
    <t>A ver sí he entendido bien!!! Dice @LolaDelgadoG Ministra de Justicia qué: - Podemos chavista - Independentistas - Presos fugados - BILDU herederos de ETA - OTEGI TERRORISTA CONDENADO Aceptan la Constitución VOX NO @Santi_ABASCAL esto es intolerable</t>
  </si>
  <si>
    <t>https://amp.europapress.es/nacional/noticia-delgado-insiste-partidos-apoyaron-sanchez-aceptan-constitucion-contrario-vox-20181204110451.html</t>
  </si>
  <si>
    <t>Me gusta leer, opinar, aprender</t>
  </si>
  <si>
    <t>Salvador</t>
  </si>
  <si>
    <t>Quiero ir con @Santi_ABASCAL Gracias. RT @MoritzBarcelona: 🍻SORTEIG🍻Vosaltres ho heu decidit, sortegem un tast per a 2 persones de les nostres cerveses fresques a la Fàbrica Moritz Barcelona. 1⃣Segueix-nos 2⃣Fes RT 3⃣Cita al que serà el teu acompanyant. Ens posarem en contacte amb l'afortunat la setmana del 10 de desembre. Sort!</t>
  </si>
  <si>
    <t>https://twitter.com/MoritzBarcelona/status/1069995256417083392</t>
  </si>
  <si>
    <t>https://pbs.twimg.com/media/Dtli0AwX4AEc4-0.jpg</t>
  </si>
  <si>
    <t>al Vallès xungo</t>
  </si>
  <si>
    <t>ElBucaro</t>
  </si>
  <si>
    <t>Eso, que el liberal @Santi_ABASCAL enseñe su vida laboral RT @esjavieraleman: @Santi_ABASCAL Santi, que llevas toda la vida mamando dinero público, como cuando Aguirre te enchufó en la CAM. Búscate un trabajo, haragán</t>
  </si>
  <si>
    <t>https://twitter.com/esjavieraleman/status/1069939432646733824</t>
  </si>
  <si>
    <t>No está de más recordar este tuit de @Santi_ABASCAL para ver las prácticas de quienes se refiere alguna ministra como "cumplidores de la Constitución" RT @Santi_ABASCAL: 1)En respuesta a los pobrecitos asesinos en huelga de hambre compartiré con vosotros en los próximos minutos una docena de fotografías.</t>
  </si>
  <si>
    <t>https://twitter.com/Santi_ABASCAL/status/235006194975117312</t>
  </si>
  <si>
    <t>casos aislados</t>
  </si>
  <si>
    <t>Es verdad, somos unos tiquismiquis. Adolf desde el infierno les ha mandado un Heil @Santi_ABASCAL RT @gerardotc: Sólo porque sean abiertamente nacionalistas, racistas, homófobos, machistas y porque el Ku Klux Klan los felicite, ya resulta que son fachas. ¡¿NO TE JODE?! CÓMO OS GUSTA SIMPLIFICAR...</t>
  </si>
  <si>
    <t>https://twitter.com/gerardotc/status/1069990393163468801</t>
  </si>
  <si>
    <t>Vivo en un país, que evidentemente no es España, en el que a algunos políticos les regalan los másters y encima presumen de ello.</t>
  </si>
  <si>
    <t>La única manera de limpiar la corrupción en Andalucia es dejando al PSOE fuera. Hacer una investigación independiente y miles de auditorias. @Albert_Rivera @InesArrimadas @Santi_ABASCAL @FJL_EsRadi @FJL_EsRadio @Ortega_Smith @pablocasado viva VOX.</t>
  </si>
  <si>
    <t>#Santiago @Santi_ABASCAL Despotricando nuevamente de VOX en Mas Vale Tarde</t>
  </si>
  <si>
    <t>Lloret de Mar, España</t>
  </si>
  <si>
    <t>,Animales,Árboles, Sol,Cielo,JESÚS, Galaxia,Universos,Quiromasaje Tarot,Horóscopo Odio: injusticia,los cara dura,los machistas,los que matan en nombre de Dios</t>
  </si>
  <si>
    <t>María Churches.</t>
  </si>
  <si>
    <t>Hola @Santi_ABASCAL, ojalá esto llegue a tus ojos porque... Quería que supieras que eres UN PUTO CÁNCER PARA LA HUMANIDAD. Gracias 😇</t>
  </si>
  <si>
    <t>Cuesta abajo, y sin frenos 🛤 A.M Virgen de la Vega 🎶🥁 “La vida se escribe en clave de sol” 🎼 Semana Santa ⚓️🇪🇸 F.C.B. Salamanca ✈️ Sevilla</t>
  </si>
  <si>
    <t>https://www.fcbarcelona.es/</t>
  </si>
  <si>
    <t>Emerigildo</t>
  </si>
  <si>
    <t>Hay que ser muy sinvergüenzas para cobrar ahora intereses del IBI de los años 2011-2012-2013-2014 @Ballesta_Murcia @Vox_Murcia siempre contra los mismos,los de a pie @Santi_ABASCAL</t>
  </si>
  <si>
    <t>https://pbs.twimg.com/media/Dtl9MtkW4AAwYvK.jpg</t>
  </si>
  <si>
    <t>Profesor Cojonciano</t>
  </si>
  <si>
    <t>En la imagen podemos ver a Santi Abascal, Carlos Herrera, Arcadi Espada, Serrano y José Manuel Soto con la vestimenta típica de la Cofradía de Triana.</t>
  </si>
  <si>
    <t>https://pbs.twimg.com/media/Dtl8_5aWsAEeT_B.jpg</t>
  </si>
  <si>
    <t>Pos aquí mismo</t>
  </si>
  <si>
    <t>Mala persona, amigo de tus amigos, los míos no me gustan, sin estudios ni nah de provecho.</t>
  </si>
  <si>
    <t>Pedro Soria Garmell</t>
  </si>
  <si>
    <t>Gracias @Santi_ABASCAL . Lo primero decirle que no soy votante de @vox y si quiere que le sea sincero, porque pensé que mi voto se perdería, como yo hay mucha gente a la que me he ido cruzando que actuó de forma similar, a día de hoy lo tengo claro, quizás no comulgue al 100% con</t>
  </si>
  <si>
    <t>Patrick Casanova</t>
  </si>
  <si>
    <t>Necesitamos un @Santi_ABASCAL y @vox_es rápido en Chile Direktor @joseantoniokast usted es el llamado, ya no mas movimiento, necesitamos un partido político que defienda la patria de una vez por todas, los podemistas chilenos se estan comiendo al pais con su ideología</t>
  </si>
  <si>
    <t>Arica y Parinacota, Chile</t>
  </si>
  <si>
    <t>Naval Architect Amante de la vida de tiempo total Feliz real y constante, De oficio Ingeniero, Cielo,Velocidad,Pasión, y Ritmo nada mas se necesita para vivir</t>
  </si>
  <si>
    <t>http://kzanova.tumblr.com/</t>
  </si>
  <si>
    <t>jbonR</t>
  </si>
  <si>
    <t>Ya está bregado @Santi_ABASCAL en la lucha por la Libertad, la Democracia y la Paz Antes lo atacaban los de ETA. Ahora los comunistas bolivarianos y los socialistas corruptos España vencerá, porque llevamos, como Abascal, muchos años de lucha 💪💪 🇪🇸🇪🇸🇪🇸</t>
  </si>
  <si>
    <t>pic.twitter.com/PeaOJBueB0</t>
  </si>
  <si>
    <t>Azul y Verde, por la ventana</t>
  </si>
  <si>
    <t>🇪🇸Rafa</t>
  </si>
  <si>
    <t>El mierda este le da vergüenza de los andaluces, y a los andaluces nos da vergüenza él, y si hacemos igual q él? Alentar a la gente para echar a la extrema izquierda? Al q quiere el comunismo para España @Santi_ABASCAL @vox_es @Ortega_Smith #EquiparacionYa</t>
  </si>
  <si>
    <t>https://casoaislado.com/pablo-iglesias-asegura-sentir-verguenza-los-400-000-andaluces-votado-vox/</t>
  </si>
  <si>
    <t>Media vida sirviendo a las personas y así lo seguiré haciendo hasta el día que ya no pueda👮viva el CNP la GC y 🇪🇸</t>
  </si>
  <si>
    <t>ANEU A CAGAR A LA VIA</t>
  </si>
  <si>
    <t>Monedero padre, el fan 'número 1' de VOX que cree que con Franco se vivía mejor @Pablo_Iglesias_ @pnique @sanchezcastejon @MonederoJC @Albert_Rivera @pablocasado_ @Santi_ABASCAL @gabrielrufian @QuimTorraiPla @susanadiaz @tv3cat @RaholaOficial</t>
  </si>
  <si>
    <t>⭕️ @Santi_ABASCAL: “Habría que detener a Torra y llevarle a juicio acusado de conspiración y rebelión"</t>
  </si>
  <si>
    <t>https://www.elindependiente.com/politica/2018/12/04/abascal-cerraria-ya-canal-sur-detendria-torra/?utm_source=share_buttons&amp;utm_medium=twitter&amp;utm_campaign=social_share2</t>
  </si>
  <si>
    <t>JESUS ZARZALEJO</t>
  </si>
  <si>
    <t>Solo tienen Vds que imaginarse si dejarían el futuro de sus hijos en manos de Santi Abascal o en manos de Echenique y CÍA y sabrán cuál de ellos es mejor para España .</t>
  </si>
  <si>
    <t>San Martin de Valdeiglesias</t>
  </si>
  <si>
    <t>Vivo sin vivir en ti</t>
  </si>
  <si>
    <t>Redoblando🥁📡</t>
  </si>
  <si>
    <t>"Ku klux klan" como será el casoplón de Santi Abascal lider de los fachas si no ha trabajado en su vida?🤔...espera,no habreís votado a un vividor del PP?</t>
  </si>
  <si>
    <t>pic.twitter.com/4cqQUOvZpo</t>
  </si>
  <si>
    <t>LLIBERTAT PRESOS POLITICS</t>
  </si>
  <si>
    <t>Para el dictador criminal de lesa humanidad Nicolás Maduro los diputados de la MUD con más de 10 millones de votos son fascistas. @FJL_EsRadio @Ortega_Smith @Santi_ABASCAL @monasterioR VIVA VOX</t>
  </si>
  <si>
    <t>https://pbs.twimg.com/media/Dtl6_6nU8AAjtrl.jpg</t>
  </si>
  <si>
    <t>◢ ◤</t>
  </si>
  <si>
    <t>No entiendo si @vox_es se autodenomina la #EspañaViva porque el resto vamos a acabar en las cunetas por rojos o qué... Me lo explicas pls? @Santi_ABASCAL #MachoAlfa</t>
  </si>
  <si>
    <t>Avicii puso música a mi vida. Así que si quieres saber más, escúchale. 🤷🏻‍♂</t>
  </si>
  <si>
    <t>Jorge Garcés</t>
  </si>
  <si>
    <t>Democracia On Fire, pero una democracia Grande y Libre.</t>
  </si>
  <si>
    <t>Aragón, España</t>
  </si>
  <si>
    <t>Con más agujeros en los bolsillos que Melitón Manzanas.</t>
  </si>
  <si>
    <t>Honor a Blas de Lezo</t>
  </si>
  <si>
    <t>Entre todos los anti(¿?)fascistas que se juntaron ayer en Sevilla no suman ni 40 días cotizados. @Santi_ABASCAL @ldpsincomplejos</t>
  </si>
  <si>
    <t>VALENCIA ESPAÑA</t>
  </si>
  <si>
    <t>Tere</t>
  </si>
  <si>
    <t>Avisados estamos... #NiUnPasoAtras @Santi_ABASCAL esta nos sirve para aprender, la segunda para enseñarte. RT @Santi_ABASCAL: Después de que hordas comunistas empujadas por Pablo Iglesias aullaran pidiendo descuartizar "a pedazos" a los miembros de VOX, vemos como hay periodistas señalando direcciones y a familiares de candidatos. Tomamos nota. Pero ya advertimos: serán culpables de las consecuencias.</t>
  </si>
  <si>
    <t>"El exlíder del Ku Klux Klan felicita a Santi Abascal por su resultado en Andalucía. Luego preguntan que por qué son nazis" Vía @Tremending</t>
  </si>
  <si>
    <t>https://www.publico.es/tremending/2018/12/04/elecciones-andalucia-2018-el-exlider-del-ku-klux-klan-david-duke-celebra-el-resultado-de-vox-en-andalucia/?utm_source=twitter&amp;utm_medium=social&amp;utm_campaign=publico</t>
  </si>
  <si>
    <t>Zero</t>
  </si>
  <si>
    <t>Oiga @Santi_ABASCAL de verdad que son necesarias las subvenciones a los chiringuitos como Facua? Viven de nuestro sudor y trabajo. RT @RubenSanchezTW: 94.000 euros al año cobraba Santiago Abascal por los cargos a dedo que le regaló el PP. ¿Qué hizo desde ellos para mejorar la vida de los ciudadanos? Nadie lo sabe. Y ahora aprended a señalar cuando habléis de subvencionados vividores de lo público.</t>
  </si>
  <si>
    <t>https://twitter.com/RubenSanchezTW/status/1069693004276006914
https://maldita.es/malditodato/cuando-abascal-cobraba-mas-que-el-presidente-del-gobierno-por-cargos-a-dedo-pagados-con-dinero-publico/</t>
  </si>
  <si>
    <t>Miro siempre por la mirilla antes de abrir la puerta. Creando nuestro futuro.</t>
  </si>
  <si>
    <t>Esto es la hostia, macho ¡¡¡ELECCIONES YA!!! ¡@Santi_ABASCAL Presidente! RT @golorico: ¿Que Bildu es tan amenaza como VOX? Oye, a qué grupo terrorista representa VOX, ¿me quieres decir?</t>
  </si>
  <si>
    <t>https://twitter.com/golorico/status/1070018442495975424
https://twitter.com/JuanchoCies18/status/1069945840679182336</t>
  </si>
  <si>
    <t>Salvador Mayo</t>
  </si>
  <si>
    <t>El Belén en casa de @Santi_ABASCAL estas navidades</t>
  </si>
  <si>
    <t>https://pbs.twimg.com/media/Dtl3qQZXgAAnjXx.jpg</t>
  </si>
  <si>
    <t>Unión Europea</t>
  </si>
  <si>
    <t>🇪🇺</t>
  </si>
  <si>
    <t>Dice @susanadiaz que no hablará con @vox_es @Santi_ABASCAL pero habla con el colETA que dice emocionarse cuando ve como patean a un policía, y pretende así que los españoles simpaticemos con el @PSOe  vía @YouTube</t>
  </si>
  <si>
    <t>https://youtu.be/1ui2PDJJb_s</t>
  </si>
  <si>
    <t>Angel?</t>
  </si>
  <si>
    <t>Qué vergüenza! Antes felicita a @Santi_ABASCAL y a @vox_es el Ku klux klan que la mayoría de partidos políticos españoles que sólo lloran y patalean por el resultado... Será que el Ku Klux Klan tiene más educación y respeto que esos políticos llorones???</t>
  </si>
  <si>
    <t>pic.twitter.com/wlq5fXZpcG</t>
  </si>
  <si>
    <t>Cada grito de ellos es un latido nuestro... Viva España!</t>
  </si>
  <si>
    <t>"@Santi_ABASCAL Pim, Pam, Pum": el día que el líder de @Vox_es, amenazado tanto él como su familia por ETA, fue golpeado y escupido por batasunos</t>
  </si>
  <si>
    <t>http://ww.cope.es/u1iun1</t>
  </si>
  <si>
    <t>Cuasiquesi</t>
  </si>
  <si>
    <t>Aquí tenéis al peligrosísimo @Santi_ABASCAL (vestido de rojo y su padre de amarillo), rodeados de unos amables y demócratas proetarras. Hombres de paz donde los haya. A éstos últimos es a quienes abraza @pnique, @sanchezcastejon y compañía.</t>
  </si>
  <si>
    <t>https://www.youtube.com/watch?time_continue=1&amp;v=2PoI1Qtn0XA</t>
  </si>
  <si>
    <t>Descolocao</t>
  </si>
  <si>
    <t>A veces me paso por Twitter, otras, me pasó por Twitter.</t>
  </si>
  <si>
    <t>pili mor</t>
  </si>
  <si>
    <t>EL PASADO DE SANTI ABASCAL Y SU FALSO PATRIOTISMO.Verlo en YouTube.</t>
  </si>
  <si>
    <t>intergaláctica</t>
  </si>
  <si>
    <t>Ciudadana del deshumanizado mundo.Firme convencida d q sólo 1 mundo mejor es posible entre todos y cn información.Odio las injusticias y el maltrato.</t>
  </si>
  <si>
    <t>Javier Gella</t>
  </si>
  <si>
    <t>Santi Abascal, líder de VOX, hoy en El Hormiguero. Con la de gente que odia a Pablo Motos, si le da una hostia igual gana las Generales.</t>
  </si>
  <si>
    <t>Me quiero cambiar de sexo pero Nacho Vidal dice que no me lo cambia. http://javiergella.com http://facebook.com/JavierGellaRET…</t>
  </si>
  <si>
    <t>http://www.javiergella.com</t>
  </si>
  <si>
    <t>Natalia Alvariño♪</t>
  </si>
  <si>
    <t>Hola, @Santi_ABASCAL, soy una piojosa feminazi que vengo a quejarme de que un desconocido acaba de piropearme por la calle. Que igual tenía que estar agradecida, que mira que somos quejicosas las de izquierdas.</t>
  </si>
  <si>
    <t>Everywhere</t>
  </si>
  <si>
    <t>#xl8| Traducción EN, FR, IT-ES, GL| ♥: Viajar, interpretar, París y mi piano| GALEGA| Futura loca de los gatos| La gente dice que soy maja ✌🏻🐱👸🏼</t>
  </si>
  <si>
    <t>http://instagram.com/natalia.ar4</t>
  </si>
  <si>
    <t>VOX..EL PARTIDO DE LA SENSATEZ Y EL SENTIDO COMÚN....GRACIAS POR EXISTIR @Santi_ABASCAL</t>
  </si>
  <si>
    <t>https://pbs.twimg.com/media/Dtl1bHEWwAEbT8U.jpg</t>
  </si>
  <si>
    <t>Más comentados ahora en Derecha/Centro Dcha.: ➀ @Santi_ABASCAL ↓ ➁ @ldpsincomplejos ↓ ➂ @PSOE ↓ ➃ @sanchezcastejon ↑ ➄ @PPopular ↑ ➅ @vox_es ↑ ➆ @ahorapodemos ↓ ➇ @susanadiaz ↓ ➈ @WillyTolerdoo ↑ ➉ @Miotroyo2parte ↓</t>
  </si>
  <si>
    <t>Más influyentes ahora en Derecha/Centro Dcha.: ➀ @Santi_ABASCAL ↓ ➁ @ldpsincomplejos ↓ ➂ @Miotroyo2parte ↓ ➃ @WillyTolerdoo ↑ ➄ @EdurneUriarte ↑ ➅ @Lamismamente ↑ ➆ @AntonioRNaranjo ↑ ➇ @CristinaSegui_ ↑ ➈ @ElAguijon_ ↓</t>
  </si>
  <si>
    <t>EL-JUNKO-85</t>
  </si>
  <si>
    <t>Para k tomen nota, @vox_es se gasta 150.000 € en las selecciones andaluzas, todos ellos salidos del bolsillo de sus afiliados y no como los demás partidos k a parte de gastarse mucho más, sale de los bolsillos de todos los españoles @Santi_ABASCAL no te rindas nunca. VIVA ESPAÑA</t>
  </si>
  <si>
    <t>OTROS BAILAN NOSOTROS SENTIMOS HARDSTYLE</t>
  </si>
  <si>
    <t>Joaquin</t>
  </si>
  <si>
    <t>De celebración en Valencia @Santi_ABASCAL @vox_es</t>
  </si>
  <si>
    <t>https://pbs.twimg.com/media/DtlzYE2XQAAXIN1.jpg</t>
  </si>
  <si>
    <t>Fan del València cf ⚒. 🇪🇸</t>
  </si>
  <si>
    <t>Nunca las izquierdas fueron honestas consigo mismas, ¿cómo mierda lo van a ser con los ciudadanos? Tuve un tío abuelo comunista ¿qué me van a contar del #Comunismo recalcitrante, agresor y criminal? Enhorabuena a @vox_es @Santi_ABASCAL @FSerranoCastro y resto de agrupación. RT @Santi_ABASCAL: Pablo Iglesias es responsable directo de atizar el odio y las manifestaciones ilegales para intentar alterar el veredicto de las urnas. Le responsabilizamos de cualquier amenaza o acto violento contra cualquiera de nuestros cargos públicos, militantes, afiliados o simpatizantes.</t>
  </si>
  <si>
    <t>https://twitter.com/Santi_ABASCAL/status/1069742941315481603
https://twitter.com/okdiario/status/1069677974402809859</t>
  </si>
  <si>
    <t>🇪🇸#CulturaMotivacional #Conferenciante 🇺🇸 #AutorLiterario #Comunicador 🌏🌎🌍#librepensador #Literatura✍ #Cultura #DDHH 🇨🇺 🇻🇪 Tb en: @coffeewithjuanj</t>
  </si>
  <si>
    <t>http://www.coffeewithjuanjo.com</t>
  </si>
  <si>
    <t>edp ||★||🎗</t>
  </si>
  <si>
    <t>Oye, el @Santi_ABASCAL este se hace las cejas? 😳</t>
  </si>
  <si>
    <t>Girona, Catalunya</t>
  </si>
  <si>
    <t>Ho veig tot tant clar que a vegades m'espanto!! Català, republicà i de Girona!</t>
  </si>
  <si>
    <t>http://edp.cat</t>
  </si>
  <si>
    <t>Ausaes My Life</t>
  </si>
  <si>
    <t>Filtración del primer contacto entre @sanchezcastejon y @Santi_ABASCAL</t>
  </si>
  <si>
    <t>https://youtu.be/XzrkufnSA10</t>
  </si>
  <si>
    <t>Todo lo que sale en la tele merece un comentario... Casi siempre despectivo.</t>
  </si>
  <si>
    <t>Lord de les Roures🎗🎗️🎗️🌹🔥</t>
  </si>
  <si>
    <t>Hoy TV3 da un reportaje de Santi Abascal y VOX de ETB, programa "sense ficció" a las 21:55 horas, no os lo perdáis RT @protestona1: Lo que es intolerable es blanquear el fascismo, lleváis meses haciéndolo y ahora OH CHORPRECHA!!! 🙄🙄🙄</t>
  </si>
  <si>
    <t>https://twitter.com/protestona1/status/1070010375146483712
https://twitter.com/lasextatv/status/1069993483006554113</t>
  </si>
  <si>
    <t xml:space="preserve"> TARRAKUS</t>
  </si>
  <si>
    <t>Maulet, Almogàver i Independentista, és el meu ADN, això es porta als gens. Aprenent (dummies) trading en temps lliure, ah i m'agrada la cuina #siguemeytesigo</t>
  </si>
  <si>
    <t>La Paqui</t>
  </si>
  <si>
    <t>Lo que más me gusta de Santi Abascal es la carita árabe que tiene. Ahí, recordándole cada noche frente al espejo todo lo que odia. ¿No es poético?</t>
  </si>
  <si>
    <t>De Cadi, Cadi, en Sevilla.</t>
  </si>
  <si>
    <t>Pudiendo sintetizar LSD hago natillas... http://es.favstar.fm/users/PatGuerreroGo</t>
  </si>
  <si>
    <t>https://twitter.com/PatGuerreroGo/timelines/541342867105796096</t>
  </si>
  <si>
    <t>La Taberna Antiprogre</t>
  </si>
  <si>
    <t>En España la gente de @vox_es demostró que se acabo la hegemonía de la izquierda empobrecedora. Felicitaciones @Santi_ABASCAL brindamos por eso</t>
  </si>
  <si>
    <t>https://pbs.twimg.com/media/DtlxpbuXgAEIecd.jpg</t>
  </si>
  <si>
    <t>Somos de extrema izquierda, tan extrema que ya dimos la vuelta completa. Síguenos en Facebook: https://goo.gl/hCfbwz / En Instagram: https://bit.ly/2wI8eGK</t>
  </si>
  <si>
    <t>https://goo.gl/hCfbwz</t>
  </si>
  <si>
    <t>Actualidad Chile</t>
  </si>
  <si>
    <t>Isabel Díaz Ayuso [portavoz del PP] @IdiazAyuso se pregunta por qué hay sitio para los comunistas de PODEMOS y no lo habría para el partido patriota de nueva derecha VOX ¿...?@Santi_ABASCAL @vox_es RT @ivanedlm: Enorme intervención de ⁦@IdiazAyuso⁩. Enorme!</t>
  </si>
  <si>
    <t>https://www.youtube.com/channel/UC9vJW6d7ZWspsQBghVplU0A/videos</t>
  </si>
  <si>
    <t>El Festivalero</t>
  </si>
  <si>
    <t>Santi Abascal es el típico que tiene todas las apps de patinetes.</t>
  </si>
  <si>
    <t>El barro</t>
  </si>
  <si>
    <t>Tengo la gracia en el culo, así que mejor me doy la vuelta.</t>
  </si>
  <si>
    <t>No se puede meter el mismo saco a @vox_es que a los que hacen escraches, revientan actos del resto de partidos, o se manifestaron contra las urnas al no lograr imponerse los suyos, éstos si que no respetan la democracia @Santi_ABASCAL</t>
  </si>
  <si>
    <t>https://pbs.twimg.com/media/Dtlw1YxW0AASWEM.jpg</t>
  </si>
  <si>
    <t>#Prusesista en #Tabarnia</t>
  </si>
  <si>
    <t>Tiene pelotas que sean un catalán y un vasco los que más estén tocando los cojones a los proetarras, separatistas y demás calaña. @Albert_Rivera no hagas cábalas y pacta con @Santi_ABASCAL. Los españoles están hasta los cojones del progresismo, no caigas en esa mierda.</t>
  </si>
  <si>
    <t>Tabàrnia</t>
  </si>
  <si>
    <t>El #prusesismo es mi credo. También creo en la homeopatía y me alimento de leche cruda. Mi orgasmo es una DUI de 8 sg. ¡Los tractores dominarán el mundo!</t>
  </si>
  <si>
    <t>¿QUÉ DICEN LOS MEDIOS SOBRE LA ENTRADA DE @vox_es EN ANDALUCÍA? EL PAÍS, DIARIO PÚBLICO... @vox_es @Santi_ABASCAL @monasterioR @Taxitronco @Alfonbay @voxjovenes @VoxSalamanca @albertocharro88</t>
  </si>
  <si>
    <t>https://www.youtube.com/watch?v=UuS1qAi4SNw&amp;list=PLWj3rMTCrVm8SHNfI5HDeyVaNrzf0e4Bc</t>
  </si>
  <si>
    <t>¿QUÉ DICEN LOS MEDIOS SOBRE LA ENTRADA DE @vox_es EN ANDALUCÍA? El PAÍS, DIARIO PÚBLICO... @vox_es @Santi_ABASCAL @monasterioR Ku Klux Klan #PARO #SomosLaAudiencia4D</t>
  </si>
  <si>
    <t>Maria Souto Teijido</t>
  </si>
  <si>
    <t>Nadie más extremista, que Pablo Iglesias y su Podemos, sólo que es de Extrema izquierda. Peligrosisimos. Y les dejan campar desde hace mucho a sus anchas. P. Iglesias es Dictador, no es democrata. Santi Abascal y Box es de DERECHAS. No es de Extrema derecha, en absoluto.Calumnias</t>
  </si>
  <si>
    <t>https://pbs.twimg.com/media/DtlwcADWwAE06YL.jpg</t>
  </si>
  <si>
    <t>Fui Carmelita Descalza. Salí, por cuidar de mi padre. más tarde me casé. Ahora viuda. Soy viuda Pensionista, y espero, que nos traten bien.Poder vivir dignament</t>
  </si>
  <si>
    <t>Ya los españoles saben lo que les duele a los comunistas VOX. Y al golpismo y al PSOE. Van a sufrir!!!. @FJL_EsRadio @Ortega_Smith @Santi_ABASCAL @monasterioR VIVA VOX VOTO VOX POR UNA ESPAÑA VIVA SIN TRAIDORES Y SIN COMUNISTAS mercenarios de Podemos</t>
  </si>
  <si>
    <t>Maria Isabel P.G.</t>
  </si>
  <si>
    <t>Aquesta nit a las 21,55 a TV3 un reportaje destapant la veritat de VOX y Santi Abascal no us ho perdeu no té desperdici</t>
  </si>
  <si>
    <t>#FemXarxa</t>
  </si>
  <si>
    <t>Anestesista de España</t>
  </si>
  <si>
    <t>En tv3 hablando de @Santi_ABASCAL 😂😂😂</t>
  </si>
  <si>
    <t>Aquí estoy dando de comer a varias familias de parados con mis impuestos. Solidaridad? Poneos a trabajar</t>
  </si>
  <si>
    <t>Mira @Santi_ABASCAL , otro haciéndoos campaña. Yo no la necesito. Como facha de pro, os prestaré mi voto. RT @manuelvalls: La extrema derecha ha emergido en España. Ahora más que nunca es el momento de la responsabilidad y de recuperar el centro político. Pactos inteligentes, moderados y con sentido común, por el futuro de #España y de #Europa.</t>
  </si>
  <si>
    <t>Rafael Valenzuela</t>
  </si>
  <si>
    <t>Al que llaman facha los verdaderos fachas que le desean la muerte. @Santi_ABASCAL en Llodio en 2003. Con dos cojones por cierto. Y el #coletas a aceptar las urnas, tu si que eres un fascista, miserable, echando a la calle a la gente</t>
  </si>
  <si>
    <t>Aficionado al toro, al Atleti y al Córdoba y amante de la Fórmula 1 (vaya mezcla) también a escribir de vez en cuando. Redactor en @Momentogp</t>
  </si>
  <si>
    <t>Kiki Camarena</t>
  </si>
  <si>
    <t>Pablo,Pedro cuando seáis la mitad de valiente de lo que ha sido Santi Abascal os calláis.Cuando en la 1 se hablaba bién de Santi...... Santiago Abascal. Cuando era un estudiante en el corredor de la muerte.  vía @YouTube</t>
  </si>
  <si>
    <t>Aguilas, España</t>
  </si>
  <si>
    <t>Congélame de una puta vez.</t>
  </si>
  <si>
    <t>Juan Nacional</t>
  </si>
  <si>
    <t>Contigo, @Santi_ABASCAL , empezó todo @vox_es</t>
  </si>
  <si>
    <t>https://pbs.twimg.com/media/DtluMDEWwAAdWKI.jpg</t>
  </si>
  <si>
    <t>Orgulloso de ser español!!!.Quien no quiera a España, será un traidor para siempre.</t>
  </si>
  <si>
    <t>Luis del Pino</t>
  </si>
  <si>
    <t>Pablo Iglesias es un fracasado que incita a la violencia para intentar tapar su fracaso. No hay más. Santi Abascal es alguien que sufrió en sus carnes la violencia y que ahora triunfa porque los españoles necesitamos diques de contención frente al discurso del odio #GameOverPablo</t>
  </si>
  <si>
    <t>Director del programa de tertulia política Sin Complejos en http://esradio.libertaddigital.com/</t>
  </si>
  <si>
    <t>http://blogs.libertaddigital.com/enigmas-del-11-m/</t>
  </si>
  <si>
    <t>Sin Poder</t>
  </si>
  <si>
    <t>El padre de Juan Carlos Monedero lo tiene claro @Santi_ABASCAL @vox_es &lt;&amp;lt;¡¡¡Se Queda!!!&gt;&amp;gt;</t>
  </si>
  <si>
    <t>https://pbs.twimg.com/media/DtloLF4X4AATPO9.jpg</t>
  </si>
  <si>
    <t>JPM99</t>
  </si>
  <si>
    <t>Sí te vistes como un facha, piensas como un facha y hablas como un facha, efectivamente, eres un facha @Santi_ABASCAL @vox_es</t>
  </si>
  <si>
    <t>Escribo idioteces.</t>
  </si>
  <si>
    <t>dora martínez alfaro</t>
  </si>
  <si>
    <t>Todo mi apoyo a @Vox_Murcia, @Santi_ABASCAL y @vox_es por las imperdonables y canallas amenazas que padecen y mi condena absoluta a tanto cafre suelto que ya la policía debía haber retenido. El concepto q los cobardes podemitas tienen de la política es absolutamente despreciable RT @Santi_ABASCAL: Después de que hordas comunistas empujadas por Pablo Iglesias aullaran pidiendo descuartizar "a pedazos" a los miembros de VOX, vemos como hay periodistas señalando direcciones y a familiares de candidatos. Tomamos nota. Pero ya advertimos: serán culpables de las consecuencias.</t>
  </si>
  <si>
    <t>Murcia. España</t>
  </si>
  <si>
    <t>Periodista. Por la ética y dignidad de la profesión. Por la libertad de información.</t>
  </si>
  <si>
    <t>La colleja de Sole</t>
  </si>
  <si>
    <t>Puede ir con un tanque el fascista de @Santi_ABASCAL nos tendrá siempre enfrente RT @R3dWarri0r: Pistolero Abascal</t>
  </si>
  <si>
    <t>https://twitter.com/R3dWarri0r/status/1070002420695138304
https://m.eldiario.es/politica/Santiago_Abascal-Vox-elecciones-andaluzas-ideario-armado_0_841316096.html</t>
  </si>
  <si>
    <t>Un sitio, buen lugar</t>
  </si>
  <si>
    <t>Escribo para escupir el asco que me da parte de este mundo y su gente. La izquierda por conciencia y dignidad</t>
  </si>
  <si>
    <t>No se puede meter el mismo saco a @vox_es que a los que hacen escraches, revientan actos del resto de partidos, o se manifestaron contra las urnas al no lograr imponerse los suyos, éstos si que no respetan la democracia @Santi_ABASCAL  vía @libertaddigital</t>
  </si>
  <si>
    <t>https://www.libertaddigital.com/espana/2018-12-04/la-ministra-delgado-defiende-la-constitucionalidad-de-los-separatistas-frente-a-vox-1276629336/</t>
  </si>
  <si>
    <t>Sergio Álvarez🐻🌈</t>
  </si>
  <si>
    <t>Que "loca el coño" estas @Santi_ABASCAL, folla más y jode menos 😘 RT @Santi_ABASCAL: Después de que hordas comunistas empujadas por Pablo Iglesias aullaran pidiendo descuartizar "a pedazos" a los miembros de VOX, vemos como hay periodistas señalando direcciones y a familiares de candidatos. Tomamos nota. Pero ya advertimos: serán culpables de las consecuencias.</t>
  </si>
  <si>
    <t>Sariego Asturias</t>
  </si>
  <si>
    <t>Socialista, Internacionalista, Asturiano, Iberista, Europeo, Republicano, Pesimista Incorregible, Guerrista y Guerrero</t>
  </si>
  <si>
    <t>http://saladinu.blogspot.com</t>
  </si>
  <si>
    <t>Muy buena la respuesta. En Vox lo único que buscamos es el bien de España. Nada más nos importa... y por supuesto, como es evidente, tampoco el color de la piel. ¡Grande Ignacio! @vox_es @VOX_Valencia @Igarrigavaz @Santi_ABASCAL @JoseMa_Llanos @LlanosMasso RT @eslatarde: 📻Dieter entrevista a Ignacio Garriga de @vox_es : ¿Usted donde nació? -En Barcelona ¿Su familia vino de otro país? -Mi madre es de Guinea ¿De qué color es su piel? -Soy mulato Siendo catalán, de familia de inmigrantes y negro, ¿qué hace usted en Vox? -Mejorar mi nación</t>
  </si>
  <si>
    <t>Manuel Rodríguez</t>
  </si>
  <si>
    <t>Enemigos de la Raza Humana, enemies of the Human Race: @realDonaldTrump @DrDavidDuke @MLP_officiel @Santi_ABASCAL @ViktorOrban #Andalucia #España #UnitedStates #Hungary #France #EleccionesAndalucia #EleccionesAndalucia2018 #4Dic #NadieEsIlegal</t>
  </si>
  <si>
    <t>https://elpais.com/politica/2018/12/04/actualidad/1543928361_948093.html</t>
  </si>
  <si>
    <t>Albert Gomis Verdú</t>
  </si>
  <si>
    <t>Anagramas de SANTI ABASCAL: - San Cabalista - Las cantabais - Anclabas tías - Sacas talibán - Casaba Stalin</t>
  </si>
  <si>
    <t>Administrador de sistemes i programador. Llicenciat en Farmàcia. Màster en Filosofia. Marit. Pare de dos fills. Melòman. Escèptic. Alacantí.</t>
  </si>
  <si>
    <t>http://publicidosis.wordpress.com</t>
  </si>
  <si>
    <t>Guillermo Lorente</t>
  </si>
  <si>
    <t>Jojojo Homo Vox por @hughes_hu @Santi_ABASCAL “energia casi putiniana” buenísimo</t>
  </si>
  <si>
    <t>https://pbs.twimg.com/media/Dtlpuy2W0AAvyiU.jpg</t>
  </si>
  <si>
    <t>Me gusta España y me gusta America. Profesional. Liberal. Contracorriente. Sin faltar, eh? Politically incorrect</t>
  </si>
  <si>
    <t>¡UFFF! Emocionante discurso lleno de amor a su patria; y la de mi madre, doña Tomasa Blanco (Ponferrada), que estaría orgullosa al oír esas palabras. La cosa se pone interesante en España. Renace el amor a la bandera gracias a @vox_es @Ortega_Smith @Santi_ABASCAL @abc_es RT @alfahispania70: Pelos de punta. Si @Ortega_Smith no existiera, habría que inventarlo. Brindis por el éxito de VOX.</t>
  </si>
  <si>
    <t>https://twitter.com/alfahispania70/status/1069406551503458306</t>
  </si>
  <si>
    <t>pic.twitter.com/2SEWJmAR6I</t>
  </si>
  <si>
    <t>raul rodriguez</t>
  </si>
  <si>
    <t>.@Zurine3 Por una vez he de decir que estoy de acuerdo con el análisis del Presidente de la Comunidad de Madrid. ¿En nuestra casa o en la de Bertín, .@Santi_ABASCAL ?</t>
  </si>
  <si>
    <t>https://pbs.twimg.com/media/DtloFzMWsAAIwKk.jpg</t>
  </si>
  <si>
    <t>Oscar marcos sanchez</t>
  </si>
  <si>
    <t>Hasta que @vox_es no se pronuncie a favor del taxi,Hasta que @Santi_ABASCAL No diga que defenderá al autónomo español ante multinacionales asesinas como uber y cabify no volvera a recibir mi apoyo.las declaraciones de Ignacio garriga nos han dejado muy preocupados.rectifiquen.</t>
  </si>
  <si>
    <t>Laguna de Duero, España</t>
  </si>
  <si>
    <t>Noble,buen amigo de mis amigos,defensor siempre de la justicia en la vida,creo firmemente en el karma por ello.Haz el bien y no mires a quien.a los malos leña!!</t>
  </si>
  <si>
    <t>Más comentados ahora en Derecha/Centro Dcha.: ➀ @Santi_ABASCAL ↓ ➁ @PSOE ↑ ➂ @vox_es ↓ ➃ @sanchezcastejon ↑ ➄ @ahorapodemos ↑ ➅ @Miotroyo2parte ↑ ➆ @PPopular ↓ ➇ @susanadiaz ↑ ➈ @ldpsincomplejos ↑ ➉ @ElAguijon_ ↑↑↑</t>
  </si>
  <si>
    <t>Más influyentes ahora en Derecha/Centro Dcha.: ➀ @Santi_ABASCAL ↓ ➁ @Miotroyo2parte ↑ ➂ @ldpsincomplejos ↑ ➃ @EdurneUriarte ↑ ➄ @ElAguijon_ ↑↑↑ ➅ @CristinaSegui_ ↓ ➆ @AntonioRNaranjo ↓ ➇ @WillyTolerdoo ↓</t>
  </si>
  <si>
    <t>Alvaro Muñoz Rey</t>
  </si>
  <si>
    <t>Resulta que VOX es de extrema derecha...¡y yo que me creía de extrema derecha! ¡y que VOX me caía a la izquierda! ¡ahora que soy yo! ¡Madre mía, que soy ahora! Chacho, chacho. @vox_es @Santi_ABASCAL @rosadiezglez @monasterioR @Talaverano78 @Escribano_R @Ortega_Smith</t>
  </si>
  <si>
    <t>Kimizefa 500nmol</t>
  </si>
  <si>
    <t>Santi Abascal emenazando a Pablo Iglesias 2 días después de las elecciones. Son un peligro</t>
  </si>
  <si>
    <t>Hemisferio Norte</t>
  </si>
  <si>
    <t>Habitante del 3º planeta del sistema solar. Artesano de ADN. Soldado de la ciencia. Cariñosamente ácrata según la madre que me trajo al mundo.</t>
  </si>
  <si>
    <t>Creo que este tuit cierra muy bien un breve hilo sobre lo que hoy piensan muchos ciudadanos. En España existe un extremo fascista desde hace décadas, y no es precisamente @Santi_ABASCAL, sino los socios de investidura del actual Gobierno. RT @golorico: Extrema derecha, tu puta madre.</t>
  </si>
  <si>
    <t>https://twitter.com/golorico/status/1069996150231568384</t>
  </si>
  <si>
    <t>Papa_Lazarou ☠️🔻⚡✊🇦🇹🦁</t>
  </si>
  <si>
    <t>Olé tus huevos , Santi  vía @eldiarioes</t>
  </si>
  <si>
    <t>https://www.eldiario.es/_32357ec3</t>
  </si>
  <si>
    <t>De Bilbao. Antifascista y Republicano. ❤️Londres🇬🇧,🧡Bowie👨‍🎤,🖤Joy Division. Bloqueo nazis, machorros, toristas y demás calaña. Gora Euskadi, Aupa Athletic🇦🇹</t>
  </si>
  <si>
    <t>El Albero - COPE</t>
  </si>
  <si>
    <t>#ELALBERO267 | En tiempo de tertulia, analizamos el apoyo de @vox_es y @Santi_ABASCAL a la Tauromaquia con @jgarciate de @ValladolidCOPE y @Angel_Modesto_ de COPE Campo de Gibraltar 🎙</t>
  </si>
  <si>
    <t>http://ww.cope.es/h6l43</t>
  </si>
  <si>
    <t>https://pbs.twimg.com/media/DtllaeJWkAANRN3.jpg</t>
  </si>
  <si>
    <t>COPE - http://www.cope.es/programas/el-albero</t>
  </si>
  <si>
    <t>Programa taurino de COPE que se emite todos los martes en la web de @cope_es. Dirigido y presentado por @sixtonaranjo. (albero@cope.es)</t>
  </si>
  <si>
    <t>http://www.cope.es/toros</t>
  </si>
  <si>
    <t>Cristino González</t>
  </si>
  <si>
    <t>No te calientes @Santi_ABASCAL , ciérralo si quieres pero me pones un canal de @tpt_tv 24 horas RT @A3Noticias: El líder de Vox exigirá el cierre de Canal Sur en Andalucía</t>
  </si>
  <si>
    <t>https://twitter.com/a3noticias/status/1069921258626785280
http://atres.red/zcmuv1</t>
  </si>
  <si>
    <t>Jaén, Sevilla, ESPAÑA</t>
  </si>
  <si>
    <t>Despacito y a compás, estudiante de farmacia en la US, amante de la tauromaquia. CMU San Juan Bosco de Sevilla. Valencia C.F.</t>
  </si>
  <si>
    <t>http://www.instagram.com/cris_goal</t>
  </si>
  <si>
    <t>Rageman</t>
  </si>
  <si>
    <t>Santi Abascal no quiere acabar con los funcionarios, quiere acabar con los que no son sus amigos. Los liberales que viven de lo público tooooooda la vida, como Aguirre.</t>
  </si>
  <si>
    <t>Oakland, CA</t>
  </si>
  <si>
    <t>Vivo en el RAGE, si algún día muero es porque me estalla una vena de la puta cabeza.</t>
  </si>
  <si>
    <t>Obi Wan Kenobi</t>
  </si>
  <si>
    <t>.@Santi_ABASCAL @vox_es Vais a recibir presiones brutales para congraciaros con La Secta. Espero que no cometáis semejante error. Que os insulten a vosotros casi va en el cargo, pero que insulten a vuestros votantes no se puede disculpar DE NINGUNA FORMA. @Ortega_Smith @laSextaTV</t>
  </si>
  <si>
    <t>Cuando vayáis a votar recordad que el @PSOE y @ahorapodemos están contra la prisión permanente revisable, protegiendo así a asesinos de niños y a violadores.</t>
  </si>
  <si>
    <t>JoseMaria</t>
  </si>
  <si>
    <t>Hola @Santi_ABASCAL ya que te ha felicitado el exlíder de una organización ABIERTAMENTE RACISTA RESPONSABLE de MUERTES y LINCHAMIENTOS convendría que para establecer una diferencia con el ku klux klan manifestaras tu rechazo, puedes hacerlo atraves de @vox_es también. Besis</t>
  </si>
  <si>
    <t>Viendo arder el mundo. A veces hago el troll a tiempo parcial. Salud y República.</t>
  </si>
  <si>
    <t>Jóvenes de VOX plantan cara a las hordas podemitas de Pablo Iglesias en Sevilla: "La España viva no tiene miedo de…  Admiro profundamente la valentía y contundencia de @Santi_ABASCAL</t>
  </si>
  <si>
    <t>https://casoaislado.com/jovenes-vox-plantan-cara-las-hordas-podemitas-pablo-iglesias-sevilla-la-espana-viva-no-miedo-nadie/</t>
  </si>
  <si>
    <t>Yo me he criado con toda esta mierda y ha sido la gente como @Santi_ABASCAL la única que aguantó. En mi clase estaban los que volcaban los coches y a un compañero del PP siempre teníamos que defenderle porque le venían a quemar las cosas de clase.</t>
  </si>
  <si>
    <t>Mycroft Extinctor</t>
  </si>
  <si>
    <t>Sin palabras: Santiago Abascal en estado puro: sus peores frases</t>
  </si>
  <si>
    <t>https://www.huffingtonpost.es/2018/12/03/santi-abascal-en-estado-puro-sus-peores-frases_a_23606746/</t>
  </si>
  <si>
    <t>Can Fanga</t>
  </si>
  <si>
    <t>Rojo, cínico, ateo, borde, escéptico y soso. A combinar según la situación.</t>
  </si>
  <si>
    <t>Las mentiras tienen las patas muy cortas... y en Andalucía se ha visto. ¡No saben que decir ya!. @vox_es @VOX_Valencia @Santi_ABASCAL @Ortega_Smith @pedro_fhz @monasterioR @JoseMa_Llanos @LlanosMasso</t>
  </si>
  <si>
    <t>https://www.elespanol.com/espana/politica/20181204/campana-firmas-ilegalizar-vox-anticonstitucional/358214954_0.html</t>
  </si>
  <si>
    <t>|SOMOS|</t>
  </si>
  <si>
    <t>.@Santi_ABASCAL viviu toda a vida das autonomías. O que @vox_es oculta. #VOX</t>
  </si>
  <si>
    <t>https://pbs.twimg.com/media/Dtlh8mqWwAEheG5.jpg</t>
  </si>
  <si>
    <t>Un País de chíos!</t>
  </si>
  <si>
    <t>Gracias miles a la cadena de librerías más importantes de Venezuela. Muy cierto su comentario, el cual se evidencia en Venezuela y en la España de hoy luego de la intolerancia contra @vox_es @Santi_ABASCAL @CiudadanosCs @Albert_Rivera @InesArrimadas @ToucanInsights @PPopular RT @tecniciencia: El marica es una novela que encierra un profundo canto a la libertad,una advertencia acerca de lo que el veneno de la intolerancia puede empujarnos a cometer. El autor venezolano @carmelodifazio nos adentra con maestría en una historia cruenta y vengativa.</t>
  </si>
  <si>
    <t>https://twitter.com/tecniciencia/status/1069989299385442304
https://bit.ly/2HCb5CK</t>
  </si>
  <si>
    <t>https://pbs.twimg.com/media/DtlaMFaWoAAhPP1.jpg</t>
  </si>
  <si>
    <t>José Antonio Muñoz</t>
  </si>
  <si>
    <t>Puff... Definitivamente @Santi_ABASCAL presenta a @vox_es en Springfield</t>
  </si>
  <si>
    <t>https://pbs.twimg.com/media/Dtlhfv-X4AE2_Wg.jpg</t>
  </si>
  <si>
    <t>“Existen dos maneras de ser feliz en esta vida, una es hacerse el idiota y la otra serlo.-Freud-”</t>
  </si>
  <si>
    <t>marcy mora</t>
  </si>
  <si>
    <t>señores venezolanos debemos ayudar y hacer campaña para @Santi_ABASCAL y @Stop2Invasion el partido VOX DE ESPAÑA los estan amenazando de muerte el partido PODEMOS ESPAÑOL y nosotros movemos las redes necesitan que se haga eco de su problema</t>
  </si>
  <si>
    <t>buhonera mas no, bachaquera</t>
  </si>
  <si>
    <t>Pablo Jose</t>
  </si>
  <si>
    <t>No veis venir, el gobierno de Andalucia, presidido por @CiudadanosCs apoyado por @psoeandalucia y la abstención de @AdelanteAND ? @PPopular @vox_es @Santi_ABASCAL @salud_anguita @drh74hopl</t>
  </si>
  <si>
    <t>jose calose</t>
  </si>
  <si>
    <t>Ojalá @Santi_ABASCAL a los mandos de este buque RT @UKDefJournal: A Spanish warship has illegally sailed through the waters of the British territory of Gibraltar, blasting the Spanish national anthem on loudspeakers.</t>
  </si>
  <si>
    <t>bajamar-tenerife</t>
  </si>
  <si>
    <t>el ridículo se trae hecho de casa, extremo centro</t>
  </si>
  <si>
    <t>Pedro</t>
  </si>
  <si>
    <t>En cuanto @Santi_ABASCAL sea presidente</t>
  </si>
  <si>
    <t>pic.twitter.com/NWRrGgZiBe</t>
  </si>
  <si>
    <t>https://kubakokodrila.blogspot.com.es/</t>
  </si>
  <si>
    <t>Los inicios en política de @Santi_ABASCAL, ayuntamiento de Lodio. Los proetarras haciendo su trabajo.</t>
  </si>
  <si>
    <t>Tancredo</t>
  </si>
  <si>
    <t>A ver si alguien de @vox_es o incluso el mismo @Santi_ABASCAL sabe explicarnos esto. VOX se compromete en la primera de sus 100 medias de su programa a que se suspenda la autonomía catalana. ¿Pero qué artículo de la Constitución permite esa suspensión de la autonomía catalana? RT @Tancred31585095: @frandevox @azul_corsario @libertaddigital Ya que recurres a las alusiones personales te invito a ti o a cualquiera de VOX a que me enseñe qué artículo de la Constitución permite suspender la Autonomía de una Comunidad Autónoma. A ver quién es el desinformado. No tardes.</t>
  </si>
  <si>
    <t>https://twitter.com/Tancred31585095/status/1069971142990065664</t>
  </si>
  <si>
    <t>Ni fu ni fa.</t>
  </si>
  <si>
    <t>Articulo 18 del Codigo Penañ @vox_es @Santi_ABASCAL @PSOE @CiudadanosCs @PPopular @sanchezcastejon @fiscal_es @Albert_Rivera @pablocasado_ RT @Andy66Warhol: ¿A qué espera la Fiscalía General del Estado para actuar contra el coletas @Pablo_Iglesias_ por los delitos de incitación al odio y a la violencia y por desórdenes públicos previstos y tipificados en el Código Penal? ¡¡¡Actuación ya!!! #imputaciondelitoscoletas</t>
  </si>
  <si>
    <t>https://twitter.com/andy66warhol/status/1069988959063826433</t>
  </si>
  <si>
    <t>🔴🔴🔴#6URGENTE Campaña de firmas para ilegalizar VOX: «Es anticonstitucional» Esto es lo que quería decir la vil Comisaria comunista de Justicia, Lola. Conseguirán justo lo contrario. Que @Santi_ABASCAL y @vox_es ganen las próximas elecciones.👏👏👏</t>
  </si>
  <si>
    <t>Rufi_Ramsay</t>
  </si>
  <si>
    <t>Aquí los fachas de #vox. Pueden observar a su líder @Santi_ABASCAL amenazando con usar dinamita contra el pueblo. Esto con @ahorapodemos no pasará nunca. #AntiFascista RT @josepramonbosch: El alcalde Kichi de @ahorapodemos en Cádiz le dice a un juez que “La próxima visita será con dinamita”. Ellos son los únicos demócratas, antifascistas y moderados, el resto todos somos “fachas”</t>
  </si>
  <si>
    <t>Tabanera de Cerrato, España</t>
  </si>
  <si>
    <t>Si crees que esto tiene un final feliz, es que no has estado prestando atención.</t>
  </si>
  <si>
    <t>Mateo Hernández</t>
  </si>
  <si>
    <t>Una duda @vox_es @voxnoticias_es @Santi_ABASCAL @monasterioR, en su programa de 100 medidas para la España Viva, proponen, en su medida 90, restaurar la cadena perpetua. No obstante, esta pena es contraria al Convenio Europeo de DDHH. ¿Cómo pretenden aplicarla?</t>
  </si>
  <si>
    <t>Platform 9¾ ⏃</t>
  </si>
  <si>
    <t>XV • Valor, mente y corazón • The only limit is the one you set yourself • 🗺️ • Law⚖️ • Virgo • En deconstrucción</t>
  </si>
  <si>
    <t>https://www.youtube.com/watch?v=8dZtPmZRzQw</t>
  </si>
  <si>
    <t>AySeñorQueNosComenLosMonguers</t>
  </si>
  <si>
    <t>Este año echaran por la tele la nueva versión de "Un cuento de Navidad", protagonizada por Santi Abascal como el sr Scrooge y la inestimable colaboración en el papel de los fantasmas de Franco,Hitler y Mussolini.</t>
  </si>
  <si>
    <t>Intento de humorista fallido reconvertido en payaso de baja autoestima y gran corazón,no me muero de la pereza que me da.</t>
  </si>
  <si>
    <t>La_CarrieWhite ☭🎗️</t>
  </si>
  <si>
    <t>Ahí entra apuntando fuerte,Don Santi y sus huevos morenos</t>
  </si>
  <si>
    <t>ANTIFASCISTA. Si no contesto a tu provocación, es que tu opinión me importa una mierda.</t>
  </si>
  <si>
    <t>Amigo santi ni te preocupes ESPAÑA 🇪🇸 ha despertado y esa gentuza terminara en la carcel o en sus cloacas de donde nunca deberían haber salido bravo y gracias @vox_es @Santi_ABASCAL RT @Santi_ABASCAL: Que asco ver a Pablo Mezquitas, desde su mansión de nuevo rico, azuzando el odio y la violencia callejera. Es tan miserable como sus adorados tiranos chavistas, pero aún más cobarde. Y qué repugnante ver a millonarios mediáticos azuzando la violencia política q nunca han padecido</t>
  </si>
  <si>
    <t>https://twitter.com/santi_abascal/status/1069722798074068992</t>
  </si>
  <si>
    <t>Alfonso Mtez EL MORA</t>
  </si>
  <si>
    <t>A mí no me asusta @Santi_ABASCAL, me acojonan sus hijos.</t>
  </si>
  <si>
    <t>L'Hospitalet - BCN</t>
  </si>
  <si>
    <t>M. DIOS</t>
  </si>
  <si>
    <t>http://www.youtube.com/eltubedealfonsomora</t>
  </si>
  <si>
    <t>Y el #cambio hacia una #Europa de las Patrias, frente a la Europa de los mercaderes y burócratas de #Bruselas, solo puede venir que de la mano del liderazgo de @MLP_officiel, junto al de patriotas como la líder de @FratellidItaIia @GiorgiaMeloni y de @vox_es con @Santi_ABASCAL. RT @ivanedlm: El tercer grupo parlamentario de la Eurocámara felicita a Vox por sus resultados  via @eldiarioes</t>
  </si>
  <si>
    <t>https://twitter.com/ivanedlm/status/1069932968158945280
https://www.eldiario.es/_32357e05</t>
  </si>
  <si>
    <t>Sergio Margaretto</t>
  </si>
  <si>
    <t>Impresionante video de @Santi_ABASCAL Y de @vox_es !!! No se puede decir mas con menos palabras. Simplemente espectacular, que gran presidente va a tener españa. #EspañaViva #VOX</t>
  </si>
  <si>
    <t>Historiador, escritor y politico. Si de todos modos vas a pensar, piensa en grande. Confia en ti, nunca te rindas, no hay nada imposible.</t>
  </si>
  <si>
    <t>Memes Santa Claus Ejtremenios</t>
  </si>
  <si>
    <t>Santi abascal por la calle disparando negros, judíos y mujeres? , mmmmm no xdddd, paranoia se llama.</t>
  </si>
  <si>
    <t>Extremadura, Spanien</t>
  </si>
  <si>
    <t>Memeando desde la dehesa Somos la comunidad favorita de Madrid, por eso nuestras ciudades estan conectadas por ave</t>
  </si>
  <si>
    <t>Más comentados ahora en Derecha/Centro Dcha.: ➀ @Santi_ABASCAL ↓ ➁ @Miotroyo2parte ↓ ➂ @ldpsincomplejos ↓ ➃ @PPopular ↑ ➄ @vox_es ↑ ➅ @PSOE ↓ ➆ @ahorapodemos ↓ ➇ @hermanntertsch ↓ ➈ @susanadiaz ↓ ➉ @EdurneUriarte ↑</t>
  </si>
  <si>
    <t>Más influyentes ahora en Derecha/Centro Dcha.: ➀ @Santi_ABASCAL ↓ ➁ @Miotroyo2parte ↓ ➂ @ldpsincomplejos ↓ ➃ @EdurneUriarte ↑ ➄ @hermanntertsch ↓ ➅ @WillyTolerdoo ↓ ➆ @AntonioRNaranjo ↓ ➇ @CristinaSegui_ ↓</t>
  </si>
  <si>
    <t>Toda la razón, mantenerse firmes es la clave , no nos traiciones @Santi_ABASCAL, #EspañaViva RT @timido766: @Santi_ABASCAL VOX tiene que mantenerse firme,en su programa electoral,si no puede gobernar porque la casta politica no cede,pues que no gobierne,pero debe mantener su programa,mas gente lo apoyara en un futuro,estos solo quieren meternos miedo y que seamos un PP</t>
  </si>
  <si>
    <t>https://twitter.com/timido766/status/1069724289476243458</t>
  </si>
  <si>
    <t>Diario de los Jerele</t>
  </si>
  <si>
    <t>#ÚLTIMAHORA. El actor de la legendaria serie ha declarado que correrá la sangre si @Santi_ABASCAL cierra Canal Sur. #Política #CanalSur #Andalucía #Televisión</t>
  </si>
  <si>
    <t>https://diariodelosjereles.com/2018/12/04/bandolero-amenaza-con-matar-a-santiago-abascal-si-trata-de-cerrar-canal-sur/</t>
  </si>
  <si>
    <t>No te creas, de la misa, la mitad.</t>
  </si>
  <si>
    <t>https://diariodelosjereles.com/</t>
  </si>
  <si>
    <t>Diego</t>
  </si>
  <si>
    <t>Dejo aquí los momentazos del señor @Santi_ABASCAL en los que bien demuestra la escoria que es:</t>
  </si>
  <si>
    <t>Compton, CA</t>
  </si>
  <si>
    <t>https://www.instagram.com/diegest/</t>
  </si>
  <si>
    <t>Mis favoritos: @Santi_ABASCAL @Ortega_Smith @ivanedlm @Igarrigavaz J. Antonio Ortega Lara @monasterioR</t>
  </si>
  <si>
    <t>Acusar a VOX de fascista nada más y nada menos que un mercenario estafador comunista financiado por un dictador asesino de keda humanidad como Nicolás Maduro es una injusticia. El Pato Iglesias está jugando con fuego y se va a quemar @FJL_EsRadio @Santi_ABASCAL @monasterioR</t>
  </si>
  <si>
    <t>Bea💚🇪🇸VOX</t>
  </si>
  <si>
    <t>Un joven de 26 años llamado @Santi_ABASCAL y su padre, aguantando los ataques de la chusma de izquierdas y etarras.😠😠😠</t>
  </si>
  <si>
    <t>Enamorada de España ❤</t>
  </si>
  <si>
    <t>Español Inconforme</t>
  </si>
  <si>
    <t>Estas navidades no lo dudes. Regala regala Vox Bottled a tus conocidos. El perfume de @Santi_ABASCAL. Seguro acertarás</t>
  </si>
  <si>
    <t>https://pbs.twimg.com/media/DtlX1rQXQAMhjP8.jpg</t>
  </si>
  <si>
    <t>♔♡ Sweet Princess ♡♔</t>
  </si>
  <si>
    <t>Por celebrar la victoria de @vox_es y @Santi_ABASCAL en Andalucía me han dicho que apoyo al KKK, que soy una cerda, a ver qué hago si me violan y que no tengo ni idea de nada. La izquierda siempre tan demócrata.</t>
  </si>
  <si>
    <t>♔ My world is my kingdom ♔</t>
  </si>
  <si>
    <t>Always be a first rate version of yourself and not a second rate version of someone else👸🏻My life is my adventure 💫 Love @realmadrid &amp; @Patriots 🏆 #F1 Fan🏎</t>
  </si>
  <si>
    <t>Óscar Jiménez🇪🇸</t>
  </si>
  <si>
    <t>Enhorabuena @Santi_ABASCAL y @vox_es, habéis conseguido que todos los que odian España vayan a por vosotros, así que váis por el buen camino. La última es la viculación con el #KuKluxKlan, supongo que piensan que los españoles somos tontos.</t>
  </si>
  <si>
    <t>Hablo español, como 500 M de personas. I. T. O. P. por error, funcionario por necesidad. Para que triunfe el mal necesita que los hombres buenos no hagan nada.</t>
  </si>
  <si>
    <t>El negro del Whatsapp</t>
  </si>
  <si>
    <t>Seguro que el #PremiosFeroz2019 va para @Santi_ABASCAL. Malote. Deseando que el #PremioCaperucita2019 recaiga en @Pablo_Iglesias_</t>
  </si>
  <si>
    <t>República de Ruanda</t>
  </si>
  <si>
    <t>Hasta el rabo todo es toro</t>
  </si>
  <si>
    <t>Jose Mari</t>
  </si>
  <si>
    <t>Si le mando un md a santi abascal cagandome en sus muertos lo leera? Yahoo respuestas</t>
  </si>
  <si>
    <t>🤣🤣🤣😂😂😂 Nominado mejor Twit Año 2018: @ahorapodemos @vox_es @Santi_ABASCAL @gabrielrufian @PSOE @Pablo_Iglesias_ @pnique RT @ra_LA_me: Lo que tiene que ser jodido de verdad es que estés en huelga de hambre y solo se hable de Vox.</t>
  </si>
  <si>
    <t>https://twitter.com/ra_la_me/status/1069913738239754240</t>
  </si>
  <si>
    <t>Belén Moro</t>
  </si>
  <si>
    <t>¡Más Madera! Te lo dejo por aquí @Santi_ABASCAL y @vox_es .👇👇👇👇 y también se lo dejo @cristina_pardo @DebatAlRojoVivo @_anapastor_ y @sextaNoticias que han estado despistados cazando gamusinos 😉😉👇👇😎😎 RT @BelnMoro2: El antiguo líder del Ku Klux Klan felicita a Vox: "La Reconquista empieza en Andalucía"</t>
  </si>
  <si>
    <t>https://twitter.com/BelnMoro2/status/1069980661786791938
http://a.msn.com/01/es-es/BBQt5Cy?ocid=st</t>
  </si>
  <si>
    <t>Socialista De Cuna.Sonríe,Que La Vida Vuela.</t>
  </si>
  <si>
    <t>http://www.psoe.es</t>
  </si>
  <si>
    <t>Derek_catbcn🎗 #ShameSpain</t>
  </si>
  <si>
    <t>Cuidado @Santi_ABASCAL que se empieza siendo ultraderechista, liderando @vox_es y luego te felicita el lider del Ku Kux Clan, el mismo que fué pillado con un Transexual Negro como el negro del Whatssapp ... y acabas siendo el hazmerreír de Europa!. 😬😁😬 me río en vuestra cara</t>
  </si>
  <si>
    <t>Asigames</t>
  </si>
  <si>
    <t>Hágaselo mirar señor @Santi_ABASCAL, que usted parece un cuñado en nochevieja después de haber tomado mas gin tonics de los que debería... Solo le falta empezar a twittear chistes de viejo verde. Aunque para chiste, vuestros valores como personas... Gracias</t>
  </si>
  <si>
    <t>pic.twitter.com/tGEuR3GQh4</t>
  </si>
  <si>
    <t>Ozzie  Hernandez</t>
  </si>
  <si>
    <t>Yo como #venezolano y Malagueño adoptivo de hace 20 años estuve y estoy de acuerdo #VOXAndalucia y @Santi_ABASCAL el respeto es algo fundamental para todo pueblo que conforma una nación. La demagógia populista causaron el quiebre de mi país de nacimiento.</t>
  </si>
  <si>
    <t>marbella Spain /Manhattan,Nyc</t>
  </si>
  <si>
    <t>fashion lover &amp; Animal Lover</t>
  </si>
  <si>
    <t>Un millón de gracias @Santi_ABASCAL por mencionar el CRIMEN del impuesto de Sucesiones como primera medida a solucionar. Un millón q son las firmas recogidas para eliminarlo. Ojalá hagáis pacto con @JuanMa_Moreno y @JuanMarin_Cs</t>
  </si>
  <si>
    <t>https://pbs.twimg.com/media/DtlVPgCWsAAWdKM.jpg</t>
  </si>
  <si>
    <t>Montag 451</t>
  </si>
  <si>
    <t>¿Es @Santi_ABASCAL el nuevo Jose Antonio? #Joseantonianos opinen...</t>
  </si>
  <si>
    <t>Mijas, España</t>
  </si>
  <si>
    <t>Politólogo esp. análisis político UCM.</t>
  </si>
  <si>
    <t>https://www.reeditor.com/columnista/1494/david/laso/carballo/</t>
  </si>
  <si>
    <t>Los comienzos de @Santi_ABASCAL en el Pais Vasco.</t>
  </si>
  <si>
    <t>#EspañaViva</t>
  </si>
  <si>
    <t>julián</t>
  </si>
  <si>
    <t>me peta el concepto de gente tirándole dms de insta a santi abascal realmente tiene groupies</t>
  </si>
  <si>
    <t>Cornellà de Llobregat</t>
  </si>
  <si>
    <t>Luka Doncic fan account @unpokoborde</t>
  </si>
  <si>
    <t>https://www.instagram.com/13jgr/</t>
  </si>
  <si>
    <t>AdrianLorenzo</t>
  </si>
  <si>
    <t>Orgullo! Las cosas no vienen solas, hay que currarselas y ganarselas! Grande amigo @Santi_ABASCAL @vox_es @ABS_Vox @EnriqueVox @Vox_SCTenerife @madrid_vox @Alternativa_VOX RT @MarioNoyaM: .@Santi_ABASCAL, de campaña en Sevilla (2015) vs. @Santi_ABASCAL, de campaña en Sevilla (2018).</t>
  </si>
  <si>
    <t>https://twitter.com/MarioNoyaM/status/1069683740702588930</t>
  </si>
  <si>
    <t>https://pbs.twimg.com/media/DthHfCvW0AAATDf.jpg</t>
  </si>
  <si>
    <t>San Andrés y Sauces, Islas Can</t>
  </si>
  <si>
    <t>Praseodimio♑</t>
  </si>
  <si>
    <t>Mira @Santi_ABASCAL a mi Canal Sur no me lo toca nadie, desgraciao RT @A3Noticias: El líder de Vox exigirá el cierre de Canal Sur en Andalucía</t>
  </si>
  <si>
    <t>Chiclana (Cádiz)✈Madrid</t>
  </si>
  <si>
    <t>[20]♑~Ingeniería Química UCM ⚗🎓 ~Viviendo en un esperpento constante~</t>
  </si>
  <si>
    <t>capitán</t>
  </si>
  <si>
    <t>Por más que busco en el programa de VOX, @Santi_ABASCAL no encuentro lo que dice José @josecdiez.</t>
  </si>
  <si>
    <t>http://www.jcdiez.com/2018/12/04/elecciones-andaluzas-vox/</t>
  </si>
  <si>
    <t>1736: Dejaba el sol los dominios de Roma por algunas horas, los del Imperio Español nunca los desampara...</t>
  </si>
  <si>
    <t>Pienso, luego pisto.</t>
  </si>
  <si>
    <t>Cada vez que escucho la expresión "se ha corrido la voz" pienso en #VOX y en una eyaculación precoz de @Santi_ABASCAL</t>
  </si>
  <si>
    <t>Pisto: mezcla confusa de diversas cosas en un discurso o en un escrito.</t>
  </si>
  <si>
    <t>Una de las tácticas de los comunistas muy usada y gastada es buscar un enemigo a quien culpar de sus fracasos. Ahora es VOX. Ayer era Rajoy o Ciudadanos. @FJL_EsRadio @Ortega_Smith @Santi_ABASCAL @monasterioR VIVA VOX VOTO VOX abajo PODEMOS MERCENARIOS DE MADURO</t>
  </si>
  <si>
    <t>Y para terminar porque no quiero perder mi preciado tiempo con un partido mediocre como @vox_es ni tampoco con un vocero de pueblo como @Santi_ABASCAL "Los Doce De Andalucía" es su reconquista. Cuatro y soy generosa, será lo que sacará en las generales. 😎😎😉😉 RT @okdiario: #ENTREVISTA a @Santi_ABASCAL 🎥| "Ganaremos las generales y si el @PPopular quiere ser nuestra bisagra, encantados"</t>
  </si>
  <si>
    <t>https://twitter.com/okdiario/status/1069700005613789184
https://okdiario.com/videos/2018/12/03/santiago-abascal-ganaremos-generales-si-pp-quiere-ser-nuestra-bisagra-encantados-3423914?utm_campaign=ok&amp;utm_medium=Social&amp;utm_source=Twitter#Echobox=1543870577</t>
  </si>
  <si>
    <t>DADDY MOU ®</t>
  </si>
  <si>
    <t>Santi Abascal va a exigir el cierre de Canal Sur y de todas las televisiones públicas. Pues me gusta eso, oye 👏🏻👏🏻👏🏻👏🏻</t>
  </si>
  <si>
    <t>Madridista y Mourinhista. Hala Madrid y nada más!. 'Lo que piensen de mi, no es asunto mío' (Wayne Dyer)</t>
  </si>
  <si>
    <t>Pablo Andrés</t>
  </si>
  <si>
    <t>Estos son los partidos "constitucionalistas" tan demócratas que la ministra @LolaDelgadoG defiende en su gobierno. Si. esos a los que @Pablo_Iglesias_ llama a militar en las calles. Y si... el del vídeo es un joven @Santi_ABASCAL</t>
  </si>
  <si>
    <t>https://www.youtube.com/watch?v=2PoI1Qtn0XA&amp;feature=youtu.be</t>
  </si>
  <si>
    <t>Todo el mundo tiene derecho a ser feliz o por lo menos a intentarlo. (Pablo Andrés)</t>
  </si>
  <si>
    <t>Santi Abascal drojo y damarillo su padreRodeados de terroristas fascistas, terroristas nacionalistas y terroristas comunistas. constitución del ayuntamiento de Llodio en 2003. Vox superará a los comunistas en España. Fijo.AYUNTAMIENTO DE LLODIO JUNIO 2003</t>
  </si>
  <si>
    <t>Para que ustedes lo vean y juzguen a este aprendiz de individuo @hermanntertsch @AlfonsoRojoPD @Santi_ABASCAL @Ortega_Smith RT @Ana_la_antipopu: @pnique La pistola la lleva, mendrugo, no para atacar, sino para defenderse de ETA ya que su padre fue amenazado. Ignorante.</t>
  </si>
  <si>
    <t>https://twitter.com/Ana_la_antipopu/status/1069972158347206656</t>
  </si>
  <si>
    <t>Rafa Cuesta Valhondo</t>
  </si>
  <si>
    <t>Los que siguen acusando a @vox_es @Santi_ABASCAL y a sus votantes de fascistas,xenófobos,o el archiconocido FACHAS,no se han enterado de nada,siguen sin darse cuenta de las razones,de los problemas,y de las soluciones.Ladran luego cabalgamos #EspañaLoPrimero</t>
  </si>
  <si>
    <t>Enamorado del arte, de la buena gente y del humor. Pura vida !</t>
  </si>
  <si>
    <t>Hay POLÍTICOS que quieren dar lecciones y son ellos los que no han entendido nada. Sólo @vox_es y @Santi_ABASCAL lo tienen claro. RT @arturelpayaso2: Manuel Valls, en su primer acto en las calles de Barcelona, tiene que ser escoltado ante los violentos intentos de agresión de independentistas, concejales de la CUP y prostitutas. Esos y esas que se hacen llamar 'antifascistas', que se lo hagan mirar.</t>
  </si>
  <si>
    <t>https://twitter.com/arturelpayaso2/status/1069964221558022147</t>
  </si>
  <si>
    <t>pic.twitter.com/4luwNOpE9p</t>
  </si>
  <si>
    <t>IL</t>
  </si>
  <si>
    <t>Sr @Santi_ABASCAL acabo de ver el vídeo de la Constitución del Ayuntamiento de Llodio en el 2003. Sólo espero que algún día llegue a ser nuestro presidente del gobierno. Desde hoy tiene mi voto.</t>
  </si>
  <si>
    <t>Sariel 💙 Gothic Spade ♠️</t>
  </si>
  <si>
    <t>Que mira que en Reino Unido estamos con la mierda del Brexit y la gente también es racista y xenófoba, misógina, homófoba y tránsfoba. Pero aquí al menos los jodidos fachas tienen dignidad. Menos el UKIP. Nigelito Farage es nuestro Santi Abascal.</t>
  </si>
  <si>
    <t>Manchester, England</t>
  </si>
  <si>
    <t>27⚧. [ENG/ESP] #SoyAutista 💙 Obi's Skitty 💙 Your favourite introvert nightmare 💙 My motto? Die in beauty! 💙 A.C.A.B. (All Camus Are Beautiful) 💙</t>
  </si>
  <si>
    <t>https://listography.com/OneWingedTan</t>
  </si>
  <si>
    <t>Se merece @Santi_ABASCAL y @FSerranoCastro de @vox_es que les salga un hijo/a o nieto/a Homosexual, Lesbiana o Transexual por las palabras ofensivas, retrogradas y asquerosamente fascistas que les dedicaron a el colectivo @FELGTB . España vuelve a la caverna, dando pasos atrás</t>
  </si>
  <si>
    <t>Mirada Liberal</t>
  </si>
  <si>
    <t>Yo soy @Santi_ABASCAL y empezaba a denunciar difamaciones. Que iba a tener dinero para financiar las elecciones europeas, las autonómicas, las generales y comprar un chalet (el doble de grande) al lado del Marqués de Galapagar para tocarle los cojones. RT @liberal_mirada: Después de leer y releer los 100 puntos del programa de @vox_es, que alguien me indique dónde cojones hay uno machista, xenófobo o racista. ¡¡Que es que no lo encuentro!!</t>
  </si>
  <si>
    <t>https://twitter.com/liberal_mirada/status/1069943199655964672</t>
  </si>
  <si>
    <t>https://pbs.twimg.com/media/DtkzoYBWsAA2TXT.jpg</t>
  </si>
  <si>
    <t>Padre, hijo, maestro y alumno. Español, demócrata y católico.</t>
  </si>
  <si>
    <t>entierradigna🔻</t>
  </si>
  <si>
    <t>.@Santi_ABASCAL ha despertado el monstruo del antifascismo en Andalucía. Santi, aquí te va a costar trabajo imponer tus mierdas. RT @JuanmiMrtnz: Hoy a las 6 asamblea en la plaza del ayuntamiento. No falteis 🙏🏻#3Dgranada #AndaluciaAntifascista</t>
  </si>
  <si>
    <t>https://twitter.com/JuanmiMrtnz/status/1069969805032198152</t>
  </si>
  <si>
    <t>https://pbs.twimg.com/media/DtlL2QVW4AA6-Dc.jpg</t>
  </si>
  <si>
    <t>Antifascista.</t>
  </si>
  <si>
    <t>Más comentados ahora en Derecha/Centro Dcha.: ➀ @Santi_ABASCAL ↑ ➁ @PSOE ↑ ➂ @susanadiaz ↑ ➃ @ldpsincomplejos ↓ ➄ @ahorapodemos ↑ ➅ @PPopular ↓ ➆ @JorgeBustos1 ↑ ➇ @vox_es ↓ ➈ @CristinaSegui_ ↑ ➉ @hermanntertsch ↓</t>
  </si>
  <si>
    <t>Más influyentes ahora en Derecha/Centro Dcha.: ➀ @Santi_ABASCAL ↑ ➁ @ldpsincomplejos ↓ ➂ @JorgeBustos1 ↑ ➃ @CristinaSegui_ ↑ ➄ @hermanntertsch ↓ ➅ @WillyTolerdoo ↓ ➆ @AntonioRNaranjo ↓ ➇ @EdurneUriarte ↑↑ ➉ @dlacalle ↑</t>
  </si>
  <si>
    <t>¡ Más Madera! No es su España, @Santi_ABASCAL ni tampoco @vox_es es el único partido que la defiende. Es la de todos/as, las personas de este País,incluidos las que no tienen un hogar caliente, al que volver cada noche. No se trata de gritar, sino de observar en silencio👇👉😂😂 RT @vox_es: ✌️ Gracias a ti nuestra voz será más fuerte. Únete a la resistencia 👉</t>
  </si>
  <si>
    <t>https://twitter.com/vox_es/status/899598366417584128
https://www.voxespana.es/unete-a-vox-y-consigue-el-nuevo-carnet-de-afiliado</t>
  </si>
  <si>
    <t>https://pbs.twimg.com/media/DHwDzJ_WAAASmcT.jpg</t>
  </si>
  <si>
    <t>@EdwarFortimagen</t>
  </si>
  <si>
    <t>Alégrate @Santi_ABASCAL por que te están haciendo una fabulosa campaña para las próximas municipales y autonómicas que de seguir así, te "las llevará de calle"; el efecto que produce en el ciudadano este tipo de "contestación" es el absolutamente contrario al pretendido rechazo RT @MaraCAmor: "Hemos venído a hablar de las cosas que se habla naturalmente en las familias, en los cafés" @Santi_ABASCAL con @jaabellan</t>
  </si>
  <si>
    <t>https://twitter.com/MaraCAmor/status/1069873652601102336</t>
  </si>
  <si>
    <t>Aficionado fotografico especializado en retoque /ajustes selectivos por zonas, reducción de arrugas e imperfecciones, revelados archivo fotográficos Raw etc.</t>
  </si>
  <si>
    <t>Nerea Liza 🐝</t>
  </si>
  <si>
    <t>Luego pregunta a Pablo Iglesias y a Etxenike quién es el fascista: si @Santi_ABASCAL y su padre, o los socios de Podemos y el PSOE RT @golorico: @cmgorriaran El de rojo es @Santi_ABASCAL y el de amarillo su padre y yo vi eso por la televisión desde mi casa siendo una cría. Era la normalidad con la que había que vivir y ahora toda la izquierda española son Batasuna pura.</t>
  </si>
  <si>
    <t>🐝 Liberal, anarquista o cualquier cosa que suponga Libertad, igualdad, solidaridad. Principios universales que nunca caducan #AbejaReina #WhiteWednesdays</t>
  </si>
  <si>
    <t>MrTato 🥔</t>
  </si>
  <si>
    <t>venga pegaos @Santi_ABASCAL @Pablo_Iglesias_</t>
  </si>
  <si>
    <t>yo que sé hago cosas por las redes sociales y me he follado una piña del monte</t>
  </si>
  <si>
    <t>https://curiouscat.me/MrTato</t>
  </si>
  <si>
    <t>Gerald casas</t>
  </si>
  <si>
    <t>Si fuera mujer me tiraba a Santi Abascal.😎😎😎😎</t>
  </si>
  <si>
    <t>😎😎Corrubedo existe, Paraiso Natural.😎😎</t>
  </si>
  <si>
    <t>👉🏻¿Se deben ilegalizar los partidos que afirman no acatar los resultados de las elecciones y llaman a la violencia callejera?  @Tonicanto1 @AntoniCamps @xpericay @gsampolfer @paatri_guerrero @MMContesti @InesArrimadas @Albert_Rivera @Santi_ABASCAL</t>
  </si>
  <si>
    <t>https://www.diaribalear.es/se-deben-ilegalizar-los-partidos-que-afirman-no-acatar-los-resultados-de-las-elecciones-y-llaman-a-la-violencia-callejera/</t>
  </si>
  <si>
    <t>@vox_es @Santi_ABASCAL Tanto cuento de regeneración, tanta bandera.... en fin, muchos ya lo sabíamos, lástima que 400 mil andaluces no. Nunca es tarde para rectificar.</t>
  </si>
  <si>
    <t>Mimético Zelig</t>
  </si>
  <si>
    <t>Por favor, @DGTes, unos consejitos a @Santi_ABASCAL para que aprenda a colocar el equipaje.</t>
  </si>
  <si>
    <t>https://pbs.twimg.com/media/DtlJwIkWoAEQ6pc.jpg</t>
  </si>
  <si>
    <t>Combatiendo el fascismo en horario comercial. 'Guía urbana de mejores cagaderos de España' pronto en librerías. Puede contener trazas de másteres no cursados.</t>
  </si>
  <si>
    <t>Juanjo Mellado</t>
  </si>
  <si>
    <t>Qué dise el hermano mayor de la cofradía de La Borriquita que felicidades por los resultados, @Santi_ABASCAL. #KuKluxKlan #vox #EleccionesAndalucia2018 RT @eldiarioes: El antiguo líder del Ku Klux Klan felicita a Vox: "La Reconquista empieza en Andalucía"</t>
  </si>
  <si>
    <t>https://twitter.com/eldiarioes/status/1069909428827291648
https://www.eldiario.es/rastreador/Klux-Klan-Vox-Reconquista-Andalucia_6_842775724.html</t>
  </si>
  <si>
    <t>https://pbs.twimg.com/media/DtkUhvOX4AA7vFj.jpg</t>
  </si>
  <si>
    <t>Fotógrafo, diseñador gráfico, tabernero, coordinador de @Microteatro y activista a tiempo completo en @plazasolidaria</t>
  </si>
  <si>
    <t>http://www.flickr.com/juanjomellado</t>
  </si>
  <si>
    <t>Don Federico Jiménez Losantos VIDEOS</t>
  </si>
  <si>
    <t>Podéis intentar relacionar en vano a VOX con el Ku Klux Klan. Pero el partido @Santi_ABASCAL no es racista. Y para muestra: @Igarrigavaz de padre español y madre guineana. #4deDiciembre</t>
  </si>
  <si>
    <t>https://pbs.twimg.com/media/DtlJI0_WkAAkEIf.jpg</t>
  </si>
  <si>
    <t>Yo NO soy Don Federico Jiménez Losantos aunque me gustan sus opiniones y las comparto. 🇪🇸📻</t>
  </si>
  <si>
    <t>moinraca</t>
  </si>
  <si>
    <t>VENEZUELA</t>
  </si>
  <si>
    <t>Arrechamente OPOSITOR y Orgullosamente CATÓLICO</t>
  </si>
  <si>
    <t>http://www.google.co.ve/</t>
  </si>
  <si>
    <t>#LaSufridaClaseMedia</t>
  </si>
  <si>
    <t>Que bueno que habéis llegado para levantarme el ánimo @vox_es @Santi_ABASCAL @Andy66Warhol</t>
  </si>
  <si>
    <t>pic.twitter.com/JMaFazTvPi</t>
  </si>
  <si>
    <t>la cuenta la pago yo. ellos comen, beben y disfrutan y yo pago la cuenta.</t>
  </si>
  <si>
    <t>Danielo Pozola</t>
  </si>
  <si>
    <t>El que viene a regenerar la política cuando lleva toda la vida viviendo de ella @Santi_ABASCAL RT @iescolar: Abascal, el político que cobró sueldos de 80.000 euros de las autonomías y pide acabar con ellas. Y no solo sus sueldos: la fundación que sirvió de embrión de Vox recibió miles de euros de la Comunidad de Madrid</t>
  </si>
  <si>
    <t>https://twitter.com/iescolar/status/1069885036948787200
https://www.eldiario.es/politica/Abascal-politico-autonomias-quiere-acabar_0_842366659.html</t>
  </si>
  <si>
    <t>Informático y bético, no hay más!</t>
  </si>
  <si>
    <t>GranadaHoy</t>
  </si>
  <si>
    <t>David Duke @DrDavidDuke, ex líder del Ku Klux Klan, felicita a @vox_es en Twitter y aplaude los resultados de la formación de @Santi_ABASCAL en Andalucía. Con ellos, dice, comienza "la Reconquista" de España.</t>
  </si>
  <si>
    <t>http://granadah.info/3i_dd1</t>
  </si>
  <si>
    <t>https://pbs.twimg.com/media/DtlIY3QXcAAGYAC.jpg</t>
  </si>
  <si>
    <t>Diario de información general de Granada</t>
  </si>
  <si>
    <t>http://www.granadahoy.com</t>
  </si>
  <si>
    <t>Huelva Información</t>
  </si>
  <si>
    <t>http://huelvai.info/rww_61</t>
  </si>
  <si>
    <t>https://pbs.twimg.com/media/DtlIY3sWkAE_aEN.jpg</t>
  </si>
  <si>
    <t>Todos los días te llevamos a tu kiosco y a internet la actualidad de Huelva y su provincia, de Andalucía, España y el Mundo.</t>
  </si>
  <si>
    <t>http://www.huelvainformacion.es/</t>
  </si>
  <si>
    <t>El Día de Córdoba</t>
  </si>
  <si>
    <t>http://edcordoba.info/picti1</t>
  </si>
  <si>
    <t>https://pbs.twimg.com/media/DtlIY29X4AYuLwR.jpg</t>
  </si>
  <si>
    <t>Córdoba - España</t>
  </si>
  <si>
    <t>Diario local de información de Córdoba y su provincia perteneciente al Grupo Joly.</t>
  </si>
  <si>
    <t>http://eldiadecordoba.es</t>
  </si>
  <si>
    <t>Diario de Jerez</t>
  </si>
  <si>
    <t>http://ddjerez.info/_qwkh1</t>
  </si>
  <si>
    <t>https://pbs.twimg.com/media/DtlIY3aW0AA3yWf.jpg</t>
  </si>
  <si>
    <t>Diario independiente de Jerez de la Frontera.</t>
  </si>
  <si>
    <t>http://www.diariodejerez.es/</t>
  </si>
  <si>
    <t>Diario de Cádiz</t>
  </si>
  <si>
    <t>http://ddcadiz.info/wt3az1</t>
  </si>
  <si>
    <t>https://pbs.twimg.com/media/DtlIY3FW4AIfKjJ.jpg</t>
  </si>
  <si>
    <t>Cádiz</t>
  </si>
  <si>
    <t>Diario de Cádiz. Decano de la prensa andaluza. Fundado en 1867</t>
  </si>
  <si>
    <t>http://www.diariodecadiz.es/</t>
  </si>
  <si>
    <t>Europa Sur</t>
  </si>
  <si>
    <t>http://eusur.info/4pzo01</t>
  </si>
  <si>
    <t>https://pbs.twimg.com/media/DtlIY3LWoAAcuBA.jpg</t>
  </si>
  <si>
    <t>Diario independiente del Campo de Gibraltar</t>
  </si>
  <si>
    <t>http://www.europasur.es</t>
  </si>
  <si>
    <t>Málaga Hoy</t>
  </si>
  <si>
    <t>http://malagah.info/ncqej1</t>
  </si>
  <si>
    <t>https://pbs.twimg.com/media/DtlIY3SXQAEyirJ.jpg</t>
  </si>
  <si>
    <t>Málaga (Andalucía, España)</t>
  </si>
  <si>
    <t>La redacción de Málaga Hoy te cuenta la última hora. Todo el deporte lo tienes también en @malagahoydxt // Director: @amendezn // local@malagahoy.es</t>
  </si>
  <si>
    <t>http://www.malagahoy.es</t>
  </si>
  <si>
    <t>Diario de Almería</t>
  </si>
  <si>
    <t>http://ddalmeria.info/w_o2g1</t>
  </si>
  <si>
    <t>https://pbs.twimg.com/media/DtlIYpVX4AQ0V8h.jpg</t>
  </si>
  <si>
    <t>Twitter oficial de Diario de Almería, medio de comunicación presente en los quioscos de la provincia de Almería. También en http://www.diariodealmeria.es.</t>
  </si>
  <si>
    <t>http://www.diariodealmeria.es/</t>
  </si>
  <si>
    <t>oditsever</t>
  </si>
  <si>
    <t>La actual izquierda española quiere repetir el acoso que ya sufrió @Santi_ABASCAL por parte de lo etarras, desde el primer día que entró en política. ¡Está claro que no va a ser en vano! RT @golorico: @cmgorriaran El de rojo es @Santi_ABASCAL y el de amarillo su padre y yo vi eso por la televisión desde mi casa siendo una cría. Era la normalidad con la que había que vivir y ahora toda la izquierda española son Batasuna pura.</t>
  </si>
  <si>
    <t>Al norte del paralelo 43</t>
  </si>
  <si>
    <t>AngieLeeTa</t>
  </si>
  <si>
    <t>Antes de llamar fascista a @Santi_ABASCAL y de extrema derecha a @vox_es, mirad a las hienas y a toda esta jauría humana intentando atacar en manada:  vía @YouTube</t>
  </si>
  <si>
    <t>❤️⛈📚🛫 Post tenebras spero lucem, siempre llega. No voy a ser políticamente correcta.</t>
  </si>
  <si>
    <t>Yo no he oído nunca a @Santi_ABASCAL decir de una mujer que la azotaría hasta la sangre. En cambio sí lo he oído de @Pablo_Iglesias_ que, desde su chalet que compró en compañía del tesorero de @ahorapodemos , lanza a las huestes a decir que vuelven los machismos.</t>
  </si>
  <si>
    <t>.@vox_es obtendría hasta 9 diputados en unas generales, según el primer sondeo publicado tras las andaluzas. La #EspañaViva que lidera @Santi_ABASCAL irrumpirá también en la política nacional</t>
  </si>
  <si>
    <t>https://pbs.twimg.com/media/DtlHhP5W4AAnQKz.jpg</t>
  </si>
  <si>
    <t>Imposible is nothing</t>
  </si>
  <si>
    <t>Menos amenazas de unos y otros y a sentarse, aunque no nos mole, a consensuar lo básico por el bien del país, incluidos de las familias de simpatizantes de VOX y Podemos. El discurso agresivo de @Santi_ABASCAL y de @Pablo_Iglesias_ no beneficia a los que os han votado. Cabeza! RT @Santi_ABASCAL: Después de que hordas comunistas empujadas por Pablo Iglesias aullaran pidiendo descuartizar "a pedazos" a los miembros de VOX, vemos como hay periodistas señalando direcciones y a familiares de candidatos. Tomamos nota. Pero ya advertimos: serán culpables de las consecuencias.</t>
  </si>
  <si>
    <t>Todo se puede cambiar y todo tiene un lado positivo.Lo buscamos?</t>
  </si>
  <si>
    <t>http://puedoentrar.blogspot.com</t>
  </si>
  <si>
    <t>nanojunco</t>
  </si>
  <si>
    <t>La de gente del pp que estoy leyendo por las redes ladrar de vox y se les va a caer la papeleta para @Santi_ABASCAL en las generales . Seáis todos bienvenidos al barco de vox. Aquí lo leyeron primero!</t>
  </si>
  <si>
    <t>amante de la vida y de los placeres que te brinda.Farmacéutico y Nutricionista y Doctorado en postureo</t>
  </si>
  <si>
    <t>Juan Lebron</t>
  </si>
  <si>
    <t>Santiago Abascal(Vox)exige el cierre de Canal Sur:"Tiene que desaparecer"  ⁦@Santi_ABASCAL⁩ y @VOX_es,EN 30 AÑOS,ESTAS PRODUCCIONES HAN MOSTRADO LA CULTURA DE #ANDALUCIA A MILLONES DE ESPECTADORES DE TODO EL MUNDO. ¡IMPOSIBLE SIN ⁦@canalsur⁩!</t>
  </si>
  <si>
    <t>https://pbs.twimg.com/media/DtlGxVmWoAArzgZ.jpg</t>
  </si>
  <si>
    <t>Andalucia, España</t>
  </si>
  <si>
    <t>http://m.youtube.com/results?q=lebron+andalucia&amp;sm=3. http://es.m.wikipedia.org/wiki/Juan_Lebrón</t>
  </si>
  <si>
    <t>http://m.youtube.com/results?q=%22andalucia+es+de+cine%22&amp;sm=3</t>
  </si>
  <si>
    <t>https://pbs.twimg.com/media/DtlGfNYWwAYUZXv.png</t>
  </si>
  <si>
    <t>prepucio judío</t>
  </si>
  <si>
    <t>Buenas @Santi_ABASCAL, escucha, tengo un grave problema y es que mi pueblo de la Comunidad Valenciana está plagado de Chavistas, extranjeros y proindependentistas, el alcalde de este pueblo es de compromis y está haciendo coalición con IU Ayuda, me siento atrapado.</t>
  </si>
  <si>
    <t>Te diría que soy una persona respetable, pero estaría mintiendo, soy un pedazo de mierda Encima de friki, rojo.</t>
  </si>
  <si>
    <t>https://twitter.com/FalangeRotten?s=09</t>
  </si>
  <si>
    <t>¡Ay, que acabo de descubrir que soy de ultraderecha, Mary, porque estoy totalmente de acuerdo con lo que aquí afirma @Santi_ABASCAL: "Torra debe ser detenido ya por conspiración contra España y la Constitución"</t>
  </si>
  <si>
    <t>https://okdiario.com/videos/2018/12/04/abascal-torra-debe-ser-detenido-ya-conspiracion-contra-espana-constitucion-3423847#.XAaPYTcC_45.twitter</t>
  </si>
  <si>
    <t>JorgeEnriqueMújicaLC</t>
  </si>
  <si>
    <t>Después de las elecciones en #Andalucía me queda claro que @vox_es es un partido de extrema... de extrema necesidad para España. Bravo @Santi_ABASCAL y adelante. Les acompaño con mi oración #EspañaLoPrimero</t>
  </si>
  <si>
    <t>Saltillo, México</t>
  </si>
  <si>
    <t>Speaker de @divulgamexico, «webpastor», capellán digital, catho-geek, blogger. Hablo de Church and media, de Dios y la web: evangelidigitalización. @mujicaje</t>
  </si>
  <si>
    <t>http://actualidadyanalisis.blogspot.com</t>
  </si>
  <si>
    <t>CeяvantesFAQs FEM</t>
  </si>
  <si>
    <t>"Principio de simplificación y del enemigo único. Individualizar al adversario en un único enemigo". Principio número uno de la propaganda NAZI aplicado por @Santi_Abascal de @vox_es Uno a uno cumpliendo todos los principios.</t>
  </si>
  <si>
    <t>https://pbs.twimg.com/media/DtlE1j9WsAAEnZA.jpg</t>
  </si>
  <si>
    <t>¡Cervantes vive, la lucha sigue! ✊ (A veces soy CeяvantesFAQs FEM) Mis dos almas♀♂escriben en @Mentidero_ctxt de @ctxt_es @kamchatka_es @facua o @CopeliaLibros</t>
  </si>
  <si>
    <t>https://www.instagram.com/cervantesfaqs/</t>
  </si>
  <si>
    <t>Con una hora me basta y me sobra para desmontarte el "Chiringuito" @Santi_ABASCAL y con otra hora desenmascaro @vox_es , el partido de la España que madruga para montar caballos de 6000 €.¿ Cómo lo ve? ¡Más Madera! 👇👇 a mí 👉👉😂😂😂 RT @okdiario: #ENTREVISTA a @Santi_ABASCAL 🎥| "Ganaremos las generales y si el @PPopular quiere ser nuestra bisagra, encantados"</t>
  </si>
  <si>
    <t>Como se repitan las elecciones, @vox_es sacan los 55 diputados ellos solitos: @Santi_ABASCAL #LOPD #VOXAndalucia #VoxAvanza RT @susanadiaz: Os recomiendo este hilo de un profesor a sus alumnos para hacernos a tod@s reflexionar sobre lo que está pasando en nuestra sociedad.</t>
  </si>
  <si>
    <t>Alégrate @Santi_ABASCAL por que te están haciendo una fabulosa campaña para las próximas municipales y autonómicas que de seguir así, te "las llevará de calle"; el efecto que produce en el ciudadano este tipo de "contestación" es el absolutamente contrario al pretendido rechazo RT @vox_es: 📣🇪🇸 La #EspañaViva ha hecho historia. No ha ganado VOX. Gana Andalucía y España.</t>
  </si>
  <si>
    <t>https://twitter.com/vox_es/status/1069346607257305088</t>
  </si>
  <si>
    <t>pic.twitter.com/BT33Ppp3HY</t>
  </si>
  <si>
    <t>Firerats</t>
  </si>
  <si>
    <t>#ÚLTIMAHORA #FelizMartes ¿Sabéis si han vuelto a insultar a millones de españoles que van a votar a #VOX en @A3Noticias mientras aplauden en plató a @SandraGolpeA3TV ? Es para mi amigo @Santi_ABASCAL</t>
  </si>
  <si>
    <t xml:space="preserve"> Tabarnia 🇪🇸</t>
  </si>
  <si>
    <t>Me da placer bloquear a podemitas, socialistas, comunistas, indepes, filoetarras, y demás indigentes mentales.</t>
  </si>
  <si>
    <t>Sólo los necios no saben que los comunistas adúlteros PSOE la gran ramera que se acuesta con los mercenarios comunistas Podemos golpistas y terroristas en la misma cama al perder en Andalucia crea en VOX un enemigo virtual. @FJL_EsRadio @Ortega_Smith @Santi_ABASCAL @monasterioR</t>
  </si>
  <si>
    <t>Carmen G.P.🇪🇸 🍊</t>
  </si>
  <si>
    <t>Para @Santi_ABASCAL #LaSilenciosaCat #EleccionesGeneralesYa #EquiparacionYa RT @Carmen_PN: Por favor, una pregunta seria voy a hacer, a ver si alguien me la quiere responder. Por qué a VOX les dicen que son FASCISTAS y la ultraderecha y a aquellos que alborotan las calles, porque no aceptan las urnas les llaman anticapitalistas?????, si son de ULTRAIZQUIERDA???</t>
  </si>
  <si>
    <t>https://twitter.com/Carmen_PN/status/1069958268380987392</t>
  </si>
  <si>
    <t>España, Madrid</t>
  </si>
  <si>
    <t>Española, madrileña, Europea. viva el #RealMadrid.#Tabarnia. #Lasilenciosacat. De Cs 🍊</t>
  </si>
  <si>
    <t>Txepi 🍋 Txarrak🔻</t>
  </si>
  <si>
    <t>Me he enterado que Santi Abascal estuvo amenazado por ETA. Parece que alguien no sabe hacer su trabajo.</t>
  </si>
  <si>
    <t>Alguazas, Murcia</t>
  </si>
  <si>
    <t>Rapero comunista en libertad || Umtitismo || Mapi Leonismo || Valhalla Conexion || Les Pelacats || Anti-Posmo</t>
  </si>
  <si>
    <t>https://www.youtube.com/channel/UCbsqmPFw5AcSfbcnauR96bQ</t>
  </si>
  <si>
    <t>VOX @vox_es (@Santi_ABASCAL) es fascista y esta gente que impide que un candidato pueda expresarse no. Así todo. #PresidenciaAndaluzaARV #4deDiciembre RT @AlbertoSBlanco: Grupos separatistas revientan un acto de Manuel Valls @manuelvalls en Barcelona y éste vuelve a tachar a @vox_es de "fascista" ⚠️ Los independentistas abuchean y acosan al dirigente hispano-francés en un mitin en el barrio del Raval.  en @libertaddigital</t>
  </si>
  <si>
    <t>https://twitter.com/AlbertoSBlanco/status/1069953040558493697
https://www.libertaddigital.com/espana/2018-12-04/grupos-separatistas-revientan-un-acto-de-manuel-valls-en-barcelona-1276629339/amp.html?__twitter_impression=true</t>
  </si>
  <si>
    <t>Ahora mismo los consigue @Santi_ABASCAL y su @vox_es</t>
  </si>
  <si>
    <t>https://pbs.twimg.com/media/DtlBY1uWkAArOGP.jpg</t>
  </si>
  <si>
    <t>ErProfeta</t>
  </si>
  <si>
    <t>Si tu novio: -Es fascista -Es racista -Es machista -Es un maltratador de animales No es tu novio, es @Santi_ABASCAL</t>
  </si>
  <si>
    <t>Grecia</t>
  </si>
  <si>
    <t>ErProfeta te lo cuenta</t>
  </si>
  <si>
    <t>NationalsozialistischeLehrerbund</t>
  </si>
  <si>
    <t>Os pido unos minutos para que veáis los inicios de @Santi_ABASCAL en LLodio. El chaval joven de rojo @Santi_ABASCAL junto a su padre de amarillo, los 2 amenazados por ETA. Ánimo VALIENTE 🇪🇸, ánimo PRESIDENTE🇪🇸 @vox_es</t>
  </si>
  <si>
    <t>Unión Nacionalsocialista de Profesores (Nationalsozialistische Lehrerbund), formados para simpatizar con el régimen.</t>
  </si>
  <si>
    <t>Fernando Ferreira 🐍</t>
  </si>
  <si>
    <t>Un terremoto andaluz llamado @vox_es Soplan nuevos vientos, nacen nuevas rebeldías contra lo implantado por la izquierda socialista y comunista. @Santi_ABASCAL Qué viva España!!!</t>
  </si>
  <si>
    <t>https://pbs.twimg.com/media/DtlAexXWoAA1uVW.jpg</t>
  </si>
  <si>
    <t>Uruguay = Paraguay</t>
  </si>
  <si>
    <t>Empresario, padre de cuatro hermosos hijos, libre pensador, libertario. Abolicionista del Estado benefactor e interventor.</t>
  </si>
  <si>
    <t>Tenía razón mi madre, eso que decía sobre las drogas: @vox_es @Santi_ABASCAL RT @libertaddigital: La ministra Delgado dice que los separatistas golpistas "aceptan" la Constitución y VOX no</t>
  </si>
  <si>
    <t>https://twitter.com/libertaddigital/status/1069933862967365633
http://dlvr.it/QsnmDR</t>
  </si>
  <si>
    <t>Tras las elecciones andaluzas, podría decirse que @Santi_ABASCAL ha cortado la coleta. #4deDiciembre #PresidenciaAndaluzaARV</t>
  </si>
  <si>
    <t>Transportista, 28 años, orgulloso de ser español, conducir me aporta libertad.</t>
  </si>
  <si>
    <t>Hay q ser muy ignorante, para q un tío, (q gana 7200€/mes, con su chalet, piscina privada, vigilancia policial 24h y servicio doméstico) t diga q tienes q salir a la calle a defender los derechos d la clase obrera, y vayas tú y lo hagas!!! @Santi_ABASCAL @vox_es #vox #EspañaViva</t>
  </si>
  <si>
    <t>La gran diferencia entre los mamporreros de @Pablo_Iglesias_ y los soldados pacíficos que abogan por la unidad nacional de @Santi_ABASCAL</t>
  </si>
  <si>
    <t>https://pbs.twimg.com/media/Dtk_zHEW0AA5Vpl.jpg</t>
  </si>
  <si>
    <t>A ver si aparece un magistrado decente y le mete mano a éste montón de mierda llamado @Santi_ABASCAL de @vox_es</t>
  </si>
  <si>
    <t>https://m.eldiario.es/politica/Abascal-politico-autonomias-quiere-acabar_0_842366659.html</t>
  </si>
  <si>
    <t>I.J.Reilly #Spexit</t>
  </si>
  <si>
    <t>Si entra @Santi_ABASCAL Alcaieda nos parte a todos. Teneis para gasolina? #Aliertaesantifascista Primer aviso dicen.</t>
  </si>
  <si>
    <t>Hondarribia, España</t>
  </si>
  <si>
    <t>Nos mean... #Spexit #1-LSD</t>
  </si>
  <si>
    <t>Más comentados ahora en Derecha/Centro Dcha.: ➀ @Santi_ABASCAL ↑↑ ➁ @susanadiaz ↓ ➂ @hermanntertsch ↑↑ ➃ @WillyTolerdoo ↑ ➄ @ldpsincomplejos ↑ ➅ @PPopular ↑ ➆ @ahorapodemos ↑ ➇ @AntonioRNaranjo ↑ ➈ @vox_es ↑</t>
  </si>
  <si>
    <t>Más influyentes ahora en Derecha/Centro Dcha.: ➀ @Santi_ABASCAL ↑↑ ➁ @hermanntertsch ↑↑ ➂ @WillyTolerdoo ↑ ➃ @ldpsincomplejos ↑ ➄ @AntonioRNaranjo ↑ ➅ @JorgeBustos1 ↑↑↑ ➆ @libertaddigital ↓ ➇ @CristinaSegui_ ↓</t>
  </si>
  <si>
    <t>Recuerdo que ese día te defendí @Albert_Rivera igual que lo hizo @Santi_ABASCAL sin ser de @CiudadanosCs Y sufrí los insultos y amenazas de los "demócratas" Igual que el que defiende una maltratada y acaba pateado en coma en la calle. El desamor duele por la equivocación. RT @alonso_dm: Si Rivera quiere una excusa para pactar con VOX, aquí la tiene. Sería una indignidad aceptar la abstención de quienes han dicho las mayores barbaridades de él mientras desprecia al único que le ha defendido.</t>
  </si>
  <si>
    <t>https://twitter.com/alonso_dm/status/1069951671453839360</t>
  </si>
  <si>
    <t>https://pbs.twimg.com/media/Dtk6SIBWsAAgcIZ.jpg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</si>
</sst>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h:mm:ss"/>
  </numFmts>
  <fonts count="10">
    <font>
      <sz val="10"/>
      <color rgb="FF000000"/>
      <name val="Arial"/>
    </font>
    <font>
      <sz val="9"/>
      <color rgb="FFFFFFFF"/>
      <name val="Droid Sans"/>
    </font>
    <font>
      <sz val="8"/>
      <color rgb="FFFFFFFF"/>
      <name val="Droid Sans"/>
    </font>
    <font>
      <sz val="8"/>
      <name val="Droid Sans"/>
    </font>
    <font>
      <u/>
      <sz val="8"/>
      <color rgb="FF0000FF"/>
      <name val="Droid Sans"/>
    </font>
    <font>
      <u/>
      <sz val="8"/>
      <color rgb="FF0000FF"/>
      <name val="Droid Sans"/>
    </font>
    <font>
      <u/>
      <sz val="8"/>
      <color rgb="FF0000FF"/>
      <name val="Droid Sans"/>
    </font>
    <font>
      <u/>
      <sz val="8"/>
      <color rgb="FF0000FF"/>
      <name val="Droid Sans"/>
    </font>
    <font>
      <u/>
      <sz val="8"/>
      <color rgb="FF0000FF"/>
      <name val="Droid Sans"/>
    </font>
    <font>
      <u/>
      <sz val="8"/>
      <color rgb="FF0000FF"/>
      <name val="Droid Sans"/>
    </font>
  </fonts>
  <fills count="5">
    <fill>
      <patternFill patternType="none"/>
    </fill>
    <fill>
      <patternFill patternType="gray125"/>
    </fill>
    <fill>
      <patternFill patternType="solid">
        <fgColor rgb="FF1155CC"/>
        <bgColor rgb="FF1155CC"/>
      </patternFill>
    </fill>
    <fill>
      <patternFill patternType="solid">
        <fgColor rgb="FF3C78D8"/>
        <bgColor rgb="FF3C78D8"/>
      </patternFill>
    </fill>
    <fill>
      <patternFill patternType="solid">
        <fgColor rgb="FF4A86E8"/>
        <bgColor rgb="FF4A86E8"/>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33">
    <xf numFmtId="0" fontId="0" fillId="0" borderId="0" xfId="0" applyFont="1" applyAlignment="1"/>
    <xf numFmtId="164" fontId="2" fillId="4" borderId="1" xfId="0" applyNumberFormat="1" applyFont="1" applyFill="1" applyBorder="1" applyAlignment="1">
      <alignment horizontal="center" vertical="center"/>
    </xf>
    <xf numFmtId="0" fontId="2" fillId="4" borderId="1" xfId="0" applyFont="1" applyFill="1" applyBorder="1" applyAlignment="1">
      <alignment horizontal="center" vertical="center"/>
    </xf>
    <xf numFmtId="0" fontId="2" fillId="4" borderId="1" xfId="0" applyFont="1" applyFill="1" applyBorder="1" applyAlignment="1">
      <alignment horizontal="center" vertical="center" wrapText="1"/>
    </xf>
    <xf numFmtId="0" fontId="2" fillId="4" borderId="1" xfId="0" applyFont="1" applyFill="1" applyBorder="1" applyAlignment="1">
      <alignment horizontal="center" vertical="center"/>
    </xf>
    <xf numFmtId="0" fontId="2" fillId="4" borderId="1" xfId="0" applyFont="1" applyFill="1" applyBorder="1" applyAlignment="1">
      <alignment horizontal="center" vertical="center" wrapText="1"/>
    </xf>
    <xf numFmtId="14" fontId="3" fillId="0" borderId="0" xfId="0" applyNumberFormat="1" applyFont="1" applyAlignment="1">
      <alignment horizontal="center" vertical="center"/>
    </xf>
    <xf numFmtId="0" fontId="4" fillId="0" borderId="0" xfId="0" applyFont="1" applyAlignment="1">
      <alignment vertical="center"/>
    </xf>
    <xf numFmtId="0" fontId="3" fillId="0" borderId="0" xfId="0" applyFont="1" applyAlignment="1">
      <alignment vertical="center"/>
    </xf>
    <xf numFmtId="0" fontId="3" fillId="0" borderId="0" xfId="0" applyFont="1" applyAlignment="1">
      <alignment vertical="center" wrapText="1"/>
    </xf>
    <xf numFmtId="0" fontId="5" fillId="0" borderId="0" xfId="0" applyFont="1" applyAlignment="1">
      <alignment horizontal="center" vertical="center"/>
    </xf>
    <xf numFmtId="0" fontId="3" fillId="0" borderId="0" xfId="0" applyFont="1" applyAlignment="1">
      <alignment horizontal="left" vertical="center"/>
    </xf>
    <xf numFmtId="0" fontId="3" fillId="0" borderId="0" xfId="0" applyFont="1" applyAlignment="1">
      <alignment horizontal="center" vertical="center"/>
    </xf>
    <xf numFmtId="0" fontId="6" fillId="0" borderId="0" xfId="0" applyFont="1" applyAlignment="1">
      <alignment horizontal="left" vertical="center"/>
    </xf>
    <xf numFmtId="0" fontId="3" fillId="0" borderId="0" xfId="0" applyFont="1" applyAlignment="1">
      <alignment horizontal="center" vertical="center"/>
    </xf>
    <xf numFmtId="0" fontId="3" fillId="0" borderId="0" xfId="0" applyFont="1" applyAlignment="1">
      <alignment horizontal="left" vertical="center"/>
    </xf>
    <xf numFmtId="0" fontId="7" fillId="0" borderId="0" xfId="0" applyFont="1" applyAlignment="1">
      <alignment horizontal="left" vertical="center"/>
    </xf>
    <xf numFmtId="0" fontId="3" fillId="0" borderId="0" xfId="0" applyFont="1" applyAlignment="1">
      <alignment horizontal="left" vertical="center" wrapText="1"/>
    </xf>
    <xf numFmtId="0" fontId="3" fillId="0" borderId="0" xfId="0" applyFont="1" applyAlignment="1">
      <alignment horizontal="left" vertical="center" wrapText="1"/>
    </xf>
    <xf numFmtId="14" fontId="3" fillId="0" borderId="0" xfId="0" applyNumberFormat="1" applyFont="1" applyAlignment="1">
      <alignment horizontal="center" vertical="center"/>
    </xf>
    <xf numFmtId="0" fontId="3" fillId="0" borderId="0" xfId="0" applyFont="1" applyAlignment="1">
      <alignment vertical="center"/>
    </xf>
    <xf numFmtId="0" fontId="3" fillId="0" borderId="0" xfId="0" applyFont="1" applyAlignment="1">
      <alignment vertical="center" wrapText="1"/>
    </xf>
    <xf numFmtId="164" fontId="3" fillId="0" borderId="0" xfId="0" applyNumberFormat="1" applyFont="1" applyAlignment="1">
      <alignment horizontal="center" vertical="center"/>
    </xf>
    <xf numFmtId="0" fontId="3" fillId="0" borderId="0" xfId="0" applyFont="1" applyAlignment="1">
      <alignment horizontal="center" vertical="center"/>
    </xf>
    <xf numFmtId="0" fontId="8" fillId="0" borderId="0" xfId="0" applyFont="1" applyAlignment="1">
      <alignment vertical="center"/>
    </xf>
    <xf numFmtId="0" fontId="9" fillId="0" borderId="0" xfId="0" applyFont="1" applyAlignment="1">
      <alignment horizontal="left" vertical="center" wrapText="1"/>
    </xf>
    <xf numFmtId="0" fontId="3" fillId="0" borderId="0" xfId="0" quotePrefix="1" applyFont="1" applyAlignment="1">
      <alignment horizontal="left" vertical="center" wrapText="1"/>
    </xf>
    <xf numFmtId="0" fontId="3" fillId="0" borderId="0" xfId="0" applyFont="1" applyAlignment="1">
      <alignment vertical="center"/>
    </xf>
    <xf numFmtId="0" fontId="3" fillId="0" borderId="0" xfId="0" quotePrefix="1" applyFont="1" applyAlignment="1">
      <alignment horizontal="left" vertical="center"/>
    </xf>
    <xf numFmtId="0" fontId="3" fillId="0" borderId="0" xfId="0" quotePrefix="1" applyFont="1" applyAlignment="1">
      <alignment vertical="center" wrapText="1"/>
    </xf>
    <xf numFmtId="0" fontId="1" fillId="2" borderId="0" xfId="0" applyFont="1" applyFill="1" applyAlignment="1">
      <alignment horizontal="center" vertical="center"/>
    </xf>
    <xf numFmtId="0" fontId="0" fillId="0" borderId="0" xfId="0" applyFont="1" applyAlignment="1"/>
    <xf numFmtId="0" fontId="2" fillId="3" borderId="0" xfId="0" applyFont="1" applyFill="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522" Type="http://schemas.openxmlformats.org/officeDocument/2006/relationships/hyperlink" Target="http://pic.twitter.com/js6jx3ruKR" TargetMode="External"/><Relationship Id="rId1827" Type="http://schemas.openxmlformats.org/officeDocument/2006/relationships/hyperlink" Target="http://www.telecinco.es/" TargetMode="External"/><Relationship Id="rId21" Type="http://schemas.openxmlformats.org/officeDocument/2006/relationships/hyperlink" Target="http://www.fundalib.org/" TargetMode="External"/><Relationship Id="rId2089" Type="http://schemas.openxmlformats.org/officeDocument/2006/relationships/hyperlink" Target="https://pbs.twimg.com/media/DtmkksTWoAAH4uH.jpg" TargetMode="External"/><Relationship Id="rId170" Type="http://schemas.openxmlformats.org/officeDocument/2006/relationships/hyperlink" Target="http://www.lextres.com/" TargetMode="External"/><Relationship Id="rId2296" Type="http://schemas.openxmlformats.org/officeDocument/2006/relationships/hyperlink" Target="https://www.elconfidencial.com/elecciones-andalucia/2018-12-04/santiago-abascal-canal-sur-vox_1685166/" TargetMode="External"/><Relationship Id="rId268" Type="http://schemas.openxmlformats.org/officeDocument/2006/relationships/hyperlink" Target="https://youtu.be/RaSIX4-RPAI" TargetMode="External"/><Relationship Id="rId475" Type="http://schemas.openxmlformats.org/officeDocument/2006/relationships/hyperlink" Target="https://pbs.twimg.com/media/DtgDXuLW0AAIXd2.jpg" TargetMode="External"/><Relationship Id="rId682" Type="http://schemas.openxmlformats.org/officeDocument/2006/relationships/hyperlink" Target="https://jotapov.com/2018/12/06/carta-abierta-santiago-abascal-le-molestan-tanto-los-chalets-de-unos-pero-no-los-aticos-de-otros-son-los-de-siempre-pero-sin-la-mascara-sonriente-que-se-solian-poner/" TargetMode="External"/><Relationship Id="rId2156" Type="http://schemas.openxmlformats.org/officeDocument/2006/relationships/hyperlink" Target="https://twitter.com/azapata89/status/1069694882627903488" TargetMode="External"/><Relationship Id="rId2363" Type="http://schemas.openxmlformats.org/officeDocument/2006/relationships/hyperlink" Target="http://www.diariodecadiz.es/" TargetMode="External"/><Relationship Id="rId128" Type="http://schemas.openxmlformats.org/officeDocument/2006/relationships/hyperlink" Target="http://www.eitb.eus/" TargetMode="External"/><Relationship Id="rId335" Type="http://schemas.openxmlformats.org/officeDocument/2006/relationships/hyperlink" Target="http://directoalmentonjosequijadarubira.blogspot.com.es/" TargetMode="External"/><Relationship Id="rId542" Type="http://schemas.openxmlformats.org/officeDocument/2006/relationships/hyperlink" Target="https://pbs.twimg.com/media/Dtzvq3QWsAACpin.jpg" TargetMode="External"/><Relationship Id="rId987" Type="http://schemas.openxmlformats.org/officeDocument/2006/relationships/hyperlink" Target="https://twitter.com/Viking_RM/status/1070602043058995200" TargetMode="External"/><Relationship Id="rId1172" Type="http://schemas.openxmlformats.org/officeDocument/2006/relationships/hyperlink" Target="http://ehbildu.net/es" TargetMode="External"/><Relationship Id="rId2016" Type="http://schemas.openxmlformats.org/officeDocument/2006/relationships/hyperlink" Target="https://pbs.twimg.com/media/DtmsqnOXgAUh-ku.jpg" TargetMode="External"/><Relationship Id="rId2223" Type="http://schemas.openxmlformats.org/officeDocument/2006/relationships/hyperlink" Target="https://www.huffingtonpost.es/2018/12/03/santi-abascal-en-estado-puro-sus-peores-frases_a_23606746/?ncid=other_twitter_cooo9wqtham&amp;utm_campaign=share_twitter" TargetMode="External"/><Relationship Id="rId402" Type="http://schemas.openxmlformats.org/officeDocument/2006/relationships/hyperlink" Target="https://elpais.com/sociedad/2018/12/07/actualidad/1544176555_814543.html" TargetMode="External"/><Relationship Id="rId847" Type="http://schemas.openxmlformats.org/officeDocument/2006/relationships/hyperlink" Target="https://www.periodistadigital.com/politica/partidos-politicos/2018/12/06/el-ultra-de-extrema-izquierda-echenique-compara-a-abascal-son-torrente-y-las-redes-lo-fulminan.shtml" TargetMode="External"/><Relationship Id="rId1032" Type="http://schemas.openxmlformats.org/officeDocument/2006/relationships/hyperlink" Target="https://twitter.com/ammembrilla/status/1070427946429624343" TargetMode="External"/><Relationship Id="rId1477" Type="http://schemas.openxmlformats.org/officeDocument/2006/relationships/hyperlink" Target="https://www.telecinco.es/elprogramadeanarosa/santiago-abascal-entrevista_0_2670150013.html" TargetMode="External"/><Relationship Id="rId1684" Type="http://schemas.openxmlformats.org/officeDocument/2006/relationships/hyperlink" Target="http://pic.twitter.com/MpGgSxqgRu" TargetMode="External"/><Relationship Id="rId1891" Type="http://schemas.openxmlformats.org/officeDocument/2006/relationships/hyperlink" Target="http://www.jorgealexandre.es/" TargetMode="External"/><Relationship Id="rId707" Type="http://schemas.openxmlformats.org/officeDocument/2006/relationships/hyperlink" Target="https://pbs.twimg.com/media/DtwySN0WsAEXWz6.jpg" TargetMode="External"/><Relationship Id="rId914" Type="http://schemas.openxmlformats.org/officeDocument/2006/relationships/hyperlink" Target="https://www.marca.com/tiramillas/actualidad/2018/12/05/5c07d3fdca4741c3018b4603.html" TargetMode="External"/><Relationship Id="rId1337" Type="http://schemas.openxmlformats.org/officeDocument/2006/relationships/hyperlink" Target="https://www.elconfidencial.com/elecciones-andalucia/2018-12-04/santiago-abascal-canal-sur-vox_1685166/" TargetMode="External"/><Relationship Id="rId1544" Type="http://schemas.openxmlformats.org/officeDocument/2006/relationships/hyperlink" Target="https://pbs.twimg.com/media/DtqQFcJW0AA2RVo.png" TargetMode="External"/><Relationship Id="rId1751" Type="http://schemas.openxmlformats.org/officeDocument/2006/relationships/hyperlink" Target="http://bit.ly/2Pl0G0K" TargetMode="External"/><Relationship Id="rId1989" Type="http://schemas.openxmlformats.org/officeDocument/2006/relationships/hyperlink" Target="https://pbs.twimg.com/media/DtnUOnYWoAEh9Mg.jpg" TargetMode="External"/><Relationship Id="rId43" Type="http://schemas.openxmlformats.org/officeDocument/2006/relationships/hyperlink" Target="https://twitter.com/doguionrego/status/1071411408779309057" TargetMode="External"/><Relationship Id="rId1404" Type="http://schemas.openxmlformats.org/officeDocument/2006/relationships/hyperlink" Target="https://pbs.twimg.com/media/DtprvnqWoAAa7ZL.jpg" TargetMode="External"/><Relationship Id="rId1611" Type="http://schemas.openxmlformats.org/officeDocument/2006/relationships/hyperlink" Target="https://pbs.twimg.com/media/DtpFN1-W0AIPxl6.jpg" TargetMode="External"/><Relationship Id="rId1849" Type="http://schemas.openxmlformats.org/officeDocument/2006/relationships/hyperlink" Target="https://pbs.twimg.com/media/DtpBUXvXQAAEcwM.jpg" TargetMode="External"/><Relationship Id="rId192" Type="http://schemas.openxmlformats.org/officeDocument/2006/relationships/hyperlink" Target="http://www.bitmomentum.com/" TargetMode="External"/><Relationship Id="rId1709" Type="http://schemas.openxmlformats.org/officeDocument/2006/relationships/hyperlink" Target="https://twitter.com/telesdemileto/status/1070268610566909952" TargetMode="External"/><Relationship Id="rId1916" Type="http://schemas.openxmlformats.org/officeDocument/2006/relationships/hyperlink" Target="https://www.elmundo.es/pais-vasco/2018/12/05/5c06ee5f21efa089208b4777.html" TargetMode="External"/><Relationship Id="rId497" Type="http://schemas.openxmlformats.org/officeDocument/2006/relationships/hyperlink" Target="http://pic.twitter.com/NRGcuOj4ED" TargetMode="External"/><Relationship Id="rId2080" Type="http://schemas.openxmlformats.org/officeDocument/2006/relationships/hyperlink" Target="http://pic.twitter.com/E9LoLzDWLW" TargetMode="External"/><Relationship Id="rId2178" Type="http://schemas.openxmlformats.org/officeDocument/2006/relationships/hyperlink" Target="https://pbs.twimg.com/media/DtmNmgNXgAA21XL.jpg" TargetMode="External"/><Relationship Id="rId2385" Type="http://schemas.openxmlformats.org/officeDocument/2006/relationships/hyperlink" Target="https://pbs.twimg.com/media/DtlE1j9WsAAEnZA.jpg" TargetMode="External"/><Relationship Id="rId357" Type="http://schemas.openxmlformats.org/officeDocument/2006/relationships/hyperlink" Target="http://www.plafarma.org/" TargetMode="External"/><Relationship Id="rId1194" Type="http://schemas.openxmlformats.org/officeDocument/2006/relationships/hyperlink" Target="https://www.elplural.com/politica/santiago-abascal-carga-contra-elplural-com_207637102" TargetMode="External"/><Relationship Id="rId2038" Type="http://schemas.openxmlformats.org/officeDocument/2006/relationships/hyperlink" Target="https://twitter.com/anarosaq/status/1070034841066983427" TargetMode="External"/><Relationship Id="rId217" Type="http://schemas.openxmlformats.org/officeDocument/2006/relationships/hyperlink" Target="https://twitter.com/ahorapodemos/status/1071107478820188160" TargetMode="External"/><Relationship Id="rId564" Type="http://schemas.openxmlformats.org/officeDocument/2006/relationships/hyperlink" Target="http://youtu.be/vCzgGgIgofk?a" TargetMode="External"/><Relationship Id="rId771" Type="http://schemas.openxmlformats.org/officeDocument/2006/relationships/hyperlink" Target="http://www.kikorosique.com/" TargetMode="External"/><Relationship Id="rId869" Type="http://schemas.openxmlformats.org/officeDocument/2006/relationships/hyperlink" Target="http://ww.cope.es/o1joz2" TargetMode="External"/><Relationship Id="rId1499" Type="http://schemas.openxmlformats.org/officeDocument/2006/relationships/hyperlink" Target="http://pic.twitter.com/GqzlB9doUG" TargetMode="External"/><Relationship Id="rId2245" Type="http://schemas.openxmlformats.org/officeDocument/2006/relationships/hyperlink" Target="https://twitter.com/ivanedlm/status/1069953773819363328" TargetMode="External"/><Relationship Id="rId424" Type="http://schemas.openxmlformats.org/officeDocument/2006/relationships/hyperlink" Target="https://www.linkedin.com/in/javiercuevasfdez" TargetMode="External"/><Relationship Id="rId631" Type="http://schemas.openxmlformats.org/officeDocument/2006/relationships/hyperlink" Target="https://www.voxespana.es/" TargetMode="External"/><Relationship Id="rId729" Type="http://schemas.openxmlformats.org/officeDocument/2006/relationships/hyperlink" Target="http://bit.ly/Porno-gratis" TargetMode="External"/><Relationship Id="rId1054" Type="http://schemas.openxmlformats.org/officeDocument/2006/relationships/hyperlink" Target="http://tinyurl.com/ybm8bhuo" TargetMode="External"/><Relationship Id="rId1261" Type="http://schemas.openxmlformats.org/officeDocument/2006/relationships/hyperlink" Target="https://pbs.twimg.com/media/Dtqv_q5WwAYytsr.jpg" TargetMode="External"/><Relationship Id="rId1359" Type="http://schemas.openxmlformats.org/officeDocument/2006/relationships/hyperlink" Target="http://www.agrupacioncs.es/" TargetMode="External"/><Relationship Id="rId2105" Type="http://schemas.openxmlformats.org/officeDocument/2006/relationships/hyperlink" Target="http://pic.twitter.com/H7jdrwnGgm" TargetMode="External"/><Relationship Id="rId2312" Type="http://schemas.openxmlformats.org/officeDocument/2006/relationships/hyperlink" Target="http://pic.twitter.com/tGEuR3GQh4" TargetMode="External"/><Relationship Id="rId936" Type="http://schemas.openxmlformats.org/officeDocument/2006/relationships/hyperlink" Target="http://www.voxespana.es/" TargetMode="External"/><Relationship Id="rId1121" Type="http://schemas.openxmlformats.org/officeDocument/2006/relationships/hyperlink" Target="https://www.libertaddigital.com/cultura/libros/2014-05-06/santi-abascal-han-intentado-matar-a-tres-generaciones-de-mi-familia-1276517691/" TargetMode="External"/><Relationship Id="rId1219" Type="http://schemas.openxmlformats.org/officeDocument/2006/relationships/hyperlink" Target="https://twitter.com/Santi_ABASCAL/status/1069949221175001089" TargetMode="External"/><Relationship Id="rId1566" Type="http://schemas.openxmlformats.org/officeDocument/2006/relationships/hyperlink" Target="https://twitter.com/Jardiner_/status/1070297716490674176" TargetMode="External"/><Relationship Id="rId1773" Type="http://schemas.openxmlformats.org/officeDocument/2006/relationships/hyperlink" Target="http://bit.ly/2BRAbMB" TargetMode="External"/><Relationship Id="rId1980" Type="http://schemas.openxmlformats.org/officeDocument/2006/relationships/hyperlink" Target="http://www.bitmomentum.com/" TargetMode="External"/><Relationship Id="rId65" Type="http://schemas.openxmlformats.org/officeDocument/2006/relationships/hyperlink" Target="https://www.lavanguardia.com/politica/20181208/453414238244/elecciones-andaluzas-vox-pacto-pp-ciudadanos-cis.html" TargetMode="External"/><Relationship Id="rId1426" Type="http://schemas.openxmlformats.org/officeDocument/2006/relationships/hyperlink" Target="http://pic.twitter.com/CNec2JCBlZ" TargetMode="External"/><Relationship Id="rId1633" Type="http://schemas.openxmlformats.org/officeDocument/2006/relationships/hyperlink" Target="http://www.cantabria24horas.com/" TargetMode="External"/><Relationship Id="rId1840" Type="http://schemas.openxmlformats.org/officeDocument/2006/relationships/hyperlink" Target="http://instagram.com/crisnotariogala" TargetMode="External"/><Relationship Id="rId1700" Type="http://schemas.openxmlformats.org/officeDocument/2006/relationships/hyperlink" Target="https://pbs.twimg.com/media/DtpjRcvWwAAu4lF.jpg" TargetMode="External"/><Relationship Id="rId1938" Type="http://schemas.openxmlformats.org/officeDocument/2006/relationships/hyperlink" Target="http://www.lahoradigital.com/" TargetMode="External"/><Relationship Id="rId281" Type="http://schemas.openxmlformats.org/officeDocument/2006/relationships/hyperlink" Target="http://elclubdelosviernes.org/" TargetMode="External"/><Relationship Id="rId141" Type="http://schemas.openxmlformats.org/officeDocument/2006/relationships/hyperlink" Target="http://www.fbi.gov/wanted/topten" TargetMode="External"/><Relationship Id="rId379" Type="http://schemas.openxmlformats.org/officeDocument/2006/relationships/hyperlink" Target="https://pbs.twimg.com/media/Dt1DAPXWsAAabDY.jpg" TargetMode="External"/><Relationship Id="rId586" Type="http://schemas.openxmlformats.org/officeDocument/2006/relationships/hyperlink" Target="https://youtu.be/nYzuCr7FnyI" TargetMode="External"/><Relationship Id="rId793" Type="http://schemas.openxmlformats.org/officeDocument/2006/relationships/hyperlink" Target="https://pbs.twimg.com/media/DtwC_vLW0AIds7z.jpg" TargetMode="External"/><Relationship Id="rId2267" Type="http://schemas.openxmlformats.org/officeDocument/2006/relationships/hyperlink" Target="http://pic.twitter.com/2SEWJmAR6I" TargetMode="External"/><Relationship Id="rId7" Type="http://schemas.openxmlformats.org/officeDocument/2006/relationships/hyperlink" Target="https://twitter.com/vox_es/status/1071063230687125504" TargetMode="External"/><Relationship Id="rId239" Type="http://schemas.openxmlformats.org/officeDocument/2006/relationships/hyperlink" Target="https://pbs.twimg.com/media/Dt2TkpfWsAESYXQ.jpg" TargetMode="External"/><Relationship Id="rId446" Type="http://schemas.openxmlformats.org/officeDocument/2006/relationships/hyperlink" Target="https://pbs.twimg.com/media/Dt0jRbtXQAEuLuA.png" TargetMode="External"/><Relationship Id="rId653" Type="http://schemas.openxmlformats.org/officeDocument/2006/relationships/hyperlink" Target="https://pbs.twimg.com/media/Dtxg2GWWsAAvv2-.jpg" TargetMode="External"/><Relationship Id="rId1076" Type="http://schemas.openxmlformats.org/officeDocument/2006/relationships/hyperlink" Target="http://pic.twitter.com/sQQQMtGvUc" TargetMode="External"/><Relationship Id="rId1283" Type="http://schemas.openxmlformats.org/officeDocument/2006/relationships/hyperlink" Target="http://www.bitmomentum.com/" TargetMode="External"/><Relationship Id="rId1490" Type="http://schemas.openxmlformats.org/officeDocument/2006/relationships/hyperlink" Target="http://www.diariosur.es/" TargetMode="External"/><Relationship Id="rId2127" Type="http://schemas.openxmlformats.org/officeDocument/2006/relationships/hyperlink" Target="https://www.cope.es/n/304935" TargetMode="External"/><Relationship Id="rId2334" Type="http://schemas.openxmlformats.org/officeDocument/2006/relationships/hyperlink" Target="http://www.bitmomentum.com/" TargetMode="External"/><Relationship Id="rId306" Type="http://schemas.openxmlformats.org/officeDocument/2006/relationships/hyperlink" Target="https://twitter.com/sterlingmrch/status/1070681768687210496" TargetMode="External"/><Relationship Id="rId860" Type="http://schemas.openxmlformats.org/officeDocument/2006/relationships/hyperlink" Target="http://esespana.com.es/" TargetMode="External"/><Relationship Id="rId958" Type="http://schemas.openxmlformats.org/officeDocument/2006/relationships/hyperlink" Target="http://youtu.be/86Q_Q7v0RZk?a" TargetMode="External"/><Relationship Id="rId1143" Type="http://schemas.openxmlformats.org/officeDocument/2006/relationships/hyperlink" Target="https://twitter.com/MiguelMarfil2/status/1070335080504147969" TargetMode="External"/><Relationship Id="rId1588" Type="http://schemas.openxmlformats.org/officeDocument/2006/relationships/hyperlink" Target="http://www.muncharaz.com/" TargetMode="External"/><Relationship Id="rId1795" Type="http://schemas.openxmlformats.org/officeDocument/2006/relationships/hyperlink" Target="https://pbs.twimg.com/media/DtpLGeOW0AAwOlz.jpg" TargetMode="External"/><Relationship Id="rId87" Type="http://schemas.openxmlformats.org/officeDocument/2006/relationships/hyperlink" Target="https://www.diariosur.es/nacional/vox-gana-nuevos-afiliados-tras-elecciones-andalucia-20181207154837-ntrc.html" TargetMode="External"/><Relationship Id="rId513" Type="http://schemas.openxmlformats.org/officeDocument/2006/relationships/hyperlink" Target="http://pic.twitter.com/x2YQ2k8WrQ" TargetMode="External"/><Relationship Id="rId720" Type="http://schemas.openxmlformats.org/officeDocument/2006/relationships/hyperlink" Target="http://va.newsrepublic.net/s/dNTxfY" TargetMode="External"/><Relationship Id="rId818" Type="http://schemas.openxmlformats.org/officeDocument/2006/relationships/hyperlink" Target="http://pic.twitter.com/kORW9EPm2X" TargetMode="External"/><Relationship Id="rId1350" Type="http://schemas.openxmlformats.org/officeDocument/2006/relationships/hyperlink" Target="http://www.elmundo.es/espana/2018/12/05/5c081412fc6c83685d8b4777.html" TargetMode="External"/><Relationship Id="rId1448" Type="http://schemas.openxmlformats.org/officeDocument/2006/relationships/hyperlink" Target="https://pbs.twimg.com/media/DtqnldbWsAAFctU.jpg" TargetMode="External"/><Relationship Id="rId1655" Type="http://schemas.openxmlformats.org/officeDocument/2006/relationships/hyperlink" Target="https://pbs.twimg.com/media/DtpHilPWwAA0xhN.jpg" TargetMode="External"/><Relationship Id="rId2401" Type="http://schemas.openxmlformats.org/officeDocument/2006/relationships/hyperlink" Target="https://m.facebook.com/ebneuo" TargetMode="External"/><Relationship Id="rId1003" Type="http://schemas.openxmlformats.org/officeDocument/2006/relationships/hyperlink" Target="https://pbs.twimg.com/media/DtuX3ZvW4AAk-v1.jpg" TargetMode="External"/><Relationship Id="rId1210" Type="http://schemas.openxmlformats.org/officeDocument/2006/relationships/hyperlink" Target="http://pic.twitter.com/gPdFkSV4zG" TargetMode="External"/><Relationship Id="rId1308" Type="http://schemas.openxmlformats.org/officeDocument/2006/relationships/hyperlink" Target="https://pbs.twimg.com/media/DtrQxlZXQAQXyW_.jpg" TargetMode="External"/><Relationship Id="rId1862" Type="http://schemas.openxmlformats.org/officeDocument/2006/relationships/hyperlink" Target="https://pbs.twimg.com/media/Dto-4H_W4AE0k2D.jpg" TargetMode="External"/><Relationship Id="rId1515" Type="http://schemas.openxmlformats.org/officeDocument/2006/relationships/hyperlink" Target="https://twitter.com/mugiwarasens/status/1070056571089154048" TargetMode="External"/><Relationship Id="rId1722" Type="http://schemas.openxmlformats.org/officeDocument/2006/relationships/hyperlink" Target="https://twitter.com/Irene_Montero_/status/1070229097744424960" TargetMode="External"/><Relationship Id="rId14" Type="http://schemas.openxmlformats.org/officeDocument/2006/relationships/hyperlink" Target="http://www.ideal.es/" TargetMode="External"/><Relationship Id="rId2191" Type="http://schemas.openxmlformats.org/officeDocument/2006/relationships/hyperlink" Target="http://www.voxespana.es/" TargetMode="External"/><Relationship Id="rId163" Type="http://schemas.openxmlformats.org/officeDocument/2006/relationships/hyperlink" Target="https://twitter.com/trendinaliaES/timelines/1071285280697544714" TargetMode="External"/><Relationship Id="rId370" Type="http://schemas.openxmlformats.org/officeDocument/2006/relationships/hyperlink" Target="https://pbs.twimg.com/media/Dtw_d7JW4AAeyTa.jpg" TargetMode="External"/><Relationship Id="rId2051" Type="http://schemas.openxmlformats.org/officeDocument/2006/relationships/hyperlink" Target="https://twitter.com/Lamismamente/status/1070042268734840832" TargetMode="External"/><Relationship Id="rId2289" Type="http://schemas.openxmlformats.org/officeDocument/2006/relationships/hyperlink" Target="https://youtu.be/S8_g6JS2z24" TargetMode="External"/><Relationship Id="rId230" Type="http://schemas.openxmlformats.org/officeDocument/2006/relationships/hyperlink" Target="http://www.bitmomentum.com/" TargetMode="External"/><Relationship Id="rId468" Type="http://schemas.openxmlformats.org/officeDocument/2006/relationships/hyperlink" Target="http://pic.twitter.com/3P8aBITKbh" TargetMode="External"/><Relationship Id="rId675" Type="http://schemas.openxmlformats.org/officeDocument/2006/relationships/hyperlink" Target="http://voxespana.es/vox" TargetMode="External"/><Relationship Id="rId882" Type="http://schemas.openxmlformats.org/officeDocument/2006/relationships/hyperlink" Target="https://pbs.twimg.com/media/DtvQA2iWwAUj35t.jpg" TargetMode="External"/><Relationship Id="rId1098" Type="http://schemas.openxmlformats.org/officeDocument/2006/relationships/hyperlink" Target="http://pic.twitter.com/6ofmKFC1TQ" TargetMode="External"/><Relationship Id="rId2149" Type="http://schemas.openxmlformats.org/officeDocument/2006/relationships/hyperlink" Target="https://twitter.com/pnique/status/1070041235048534016" TargetMode="External"/><Relationship Id="rId2356" Type="http://schemas.openxmlformats.org/officeDocument/2006/relationships/hyperlink" Target="https://pbs.twimg.com/media/DtlIY29X4AYuLwR.jpg" TargetMode="External"/><Relationship Id="rId328" Type="http://schemas.openxmlformats.org/officeDocument/2006/relationships/hyperlink" Target="https://pbs.twimg.com/media/Dt1gdhcW4AAp5XN.jpg" TargetMode="External"/><Relationship Id="rId535" Type="http://schemas.openxmlformats.org/officeDocument/2006/relationships/hyperlink" Target="https://pbs.twimg.com/media/DtzzNLIXQAAjoyf.jpg" TargetMode="External"/><Relationship Id="rId742" Type="http://schemas.openxmlformats.org/officeDocument/2006/relationships/hyperlink" Target="https://m.facebook.com/ebneuo" TargetMode="External"/><Relationship Id="rId1165" Type="http://schemas.openxmlformats.org/officeDocument/2006/relationships/hyperlink" Target="https://twitter.com/vox_es/status/1070393579317673992" TargetMode="External"/><Relationship Id="rId1372" Type="http://schemas.openxmlformats.org/officeDocument/2006/relationships/hyperlink" Target="https://pbs.twimg.com/media/DtpQaI7WkAEW-Hk.jpg" TargetMode="External"/><Relationship Id="rId2009" Type="http://schemas.openxmlformats.org/officeDocument/2006/relationships/hyperlink" Target="https://pbs.twimg.com/media/DtmkxiRWsAYt_M2.jpg" TargetMode="External"/><Relationship Id="rId2216" Type="http://schemas.openxmlformats.org/officeDocument/2006/relationships/hyperlink" Target="http://kzanova.tumblr.com/" TargetMode="External"/><Relationship Id="rId602" Type="http://schemas.openxmlformats.org/officeDocument/2006/relationships/hyperlink" Target="https://www.youtube.com/watch?v=oIMxo0mWe0Q" TargetMode="External"/><Relationship Id="rId1025" Type="http://schemas.openxmlformats.org/officeDocument/2006/relationships/hyperlink" Target="http://pic.twitter.com/jkR7lBE4GT" TargetMode="External"/><Relationship Id="rId1232" Type="http://schemas.openxmlformats.org/officeDocument/2006/relationships/hyperlink" Target="https://shangay.com/2018/12/05/santiago-abascal-sin-mascaras-vox-dice-no-al-matrimonio-gay/" TargetMode="External"/><Relationship Id="rId1677" Type="http://schemas.openxmlformats.org/officeDocument/2006/relationships/hyperlink" Target="https://twitter.com/torresaren/status/1070275212049031168" TargetMode="External"/><Relationship Id="rId1884" Type="http://schemas.openxmlformats.org/officeDocument/2006/relationships/hyperlink" Target="http://www.voxespana.es/" TargetMode="External"/><Relationship Id="rId907" Type="http://schemas.openxmlformats.org/officeDocument/2006/relationships/hyperlink" Target="http://alejandroespinosa.com/" TargetMode="External"/><Relationship Id="rId1537" Type="http://schemas.openxmlformats.org/officeDocument/2006/relationships/hyperlink" Target="https://www.elmundo.es/elmundo/2004/02/18/espana/1077102000.html" TargetMode="External"/><Relationship Id="rId1744" Type="http://schemas.openxmlformats.org/officeDocument/2006/relationships/hyperlink" Target="http://sacapuntass.tumblr.com/" TargetMode="External"/><Relationship Id="rId1951" Type="http://schemas.openxmlformats.org/officeDocument/2006/relationships/hyperlink" Target="http://blogelapartado.blogspot.com.es/?m=0" TargetMode="External"/><Relationship Id="rId36" Type="http://schemas.openxmlformats.org/officeDocument/2006/relationships/hyperlink" Target="http://criptosgratis.blogspot.com.es/" TargetMode="External"/><Relationship Id="rId1604" Type="http://schemas.openxmlformats.org/officeDocument/2006/relationships/hyperlink" Target="https://www.mediterraneodigital.com/espana/comunidad-de-madrid/pablo-iglesias-me-da-vergueenza-como-espanol-que-exista-vox.html" TargetMode="External"/><Relationship Id="rId185" Type="http://schemas.openxmlformats.org/officeDocument/2006/relationships/hyperlink" Target="https://pbs.twimg.com/media/Dt3dW40X4AAB0yW.jpg" TargetMode="External"/><Relationship Id="rId1811" Type="http://schemas.openxmlformats.org/officeDocument/2006/relationships/hyperlink" Target="http://descubretubebe.blogspot.com.es/" TargetMode="External"/><Relationship Id="rId1909" Type="http://schemas.openxmlformats.org/officeDocument/2006/relationships/hyperlink" Target="https://www.abc.es/espana/abci-santiago-abascal-sanchez-no-dura-minuto-moncloa-si-adelanta-elecciones-201812042205_noticia.html" TargetMode="External"/><Relationship Id="rId392" Type="http://schemas.openxmlformats.org/officeDocument/2006/relationships/hyperlink" Target="http://www.cope.es/" TargetMode="External"/><Relationship Id="rId697" Type="http://schemas.openxmlformats.org/officeDocument/2006/relationships/hyperlink" Target="https://pbs.twimg.com/media/DtwySN0WsAEXWz6.jpg" TargetMode="External"/><Relationship Id="rId2073" Type="http://schemas.openxmlformats.org/officeDocument/2006/relationships/hyperlink" Target="https://www.elconfidencialdigital.com/articulo/politica/podemos-vuelve-calles-concentraciones-toda-espana-gran-marcha-madrid/20181017135745117131.html" TargetMode="External"/><Relationship Id="rId2280" Type="http://schemas.openxmlformats.org/officeDocument/2006/relationships/hyperlink" Target="https://www.youtube.com/watch?v=oIMxo0mWe0Q" TargetMode="External"/><Relationship Id="rId2378" Type="http://schemas.openxmlformats.org/officeDocument/2006/relationships/hyperlink" Target="https://www.elconfidencial.com/elecciones-andalucia/2018-12-04/santiago-abascal-canal-sur-vox_1685166/" TargetMode="External"/><Relationship Id="rId252" Type="http://schemas.openxmlformats.org/officeDocument/2006/relationships/hyperlink" Target="http://pic.twitter.com/Q0rP8VUGoV" TargetMode="External"/><Relationship Id="rId1187" Type="http://schemas.openxmlformats.org/officeDocument/2006/relationships/hyperlink" Target="http://www.cope.es/" TargetMode="External"/><Relationship Id="rId2140" Type="http://schemas.openxmlformats.org/officeDocument/2006/relationships/hyperlink" Target="http://pic.twitter.com/BakxMuItne" TargetMode="External"/><Relationship Id="rId112" Type="http://schemas.openxmlformats.org/officeDocument/2006/relationships/hyperlink" Target="https://youtu.be/oIMxo0mWe0Q" TargetMode="External"/><Relationship Id="rId557" Type="http://schemas.openxmlformats.org/officeDocument/2006/relationships/hyperlink" Target="http://www.despachocalero.com/" TargetMode="External"/><Relationship Id="rId764" Type="http://schemas.openxmlformats.org/officeDocument/2006/relationships/hyperlink" Target="http://www.youtube.com/rabascoficial" TargetMode="External"/><Relationship Id="rId971" Type="http://schemas.openxmlformats.org/officeDocument/2006/relationships/hyperlink" Target="https://www.facebook.com/ZassCometro/" TargetMode="External"/><Relationship Id="rId1394" Type="http://schemas.openxmlformats.org/officeDocument/2006/relationships/hyperlink" Target="https://twitter.com/Lamismamente/status/1070042268734840832" TargetMode="External"/><Relationship Id="rId1699" Type="http://schemas.openxmlformats.org/officeDocument/2006/relationships/hyperlink" Target="http://ow.ly/i9aI30mS5oC" TargetMode="External"/><Relationship Id="rId2000" Type="http://schemas.openxmlformats.org/officeDocument/2006/relationships/hyperlink" Target="http://mediterranodigital.es/" TargetMode="External"/><Relationship Id="rId2238" Type="http://schemas.openxmlformats.org/officeDocument/2006/relationships/hyperlink" Target="https://pbs.twimg.com/media/DtlzYE2XQAAXIN1.jpg" TargetMode="External"/><Relationship Id="rId417" Type="http://schemas.openxmlformats.org/officeDocument/2006/relationships/hyperlink" Target="https://pbs.twimg.com/media/Dtzv4CuXcAA5HMu.jpg" TargetMode="External"/><Relationship Id="rId624" Type="http://schemas.openxmlformats.org/officeDocument/2006/relationships/hyperlink" Target="http://oscarjugon.blogspot.com/" TargetMode="External"/><Relationship Id="rId831" Type="http://schemas.openxmlformats.org/officeDocument/2006/relationships/hyperlink" Target="https://www.ccma.cat/tv3/alacarta/sense-ficcio/vox-la-ambicion-de-santiago-abascal/video/5803455/" TargetMode="External"/><Relationship Id="rId1047" Type="http://schemas.openxmlformats.org/officeDocument/2006/relationships/hyperlink" Target="https://pbs.twimg.com/media/DtuHE4kWsAAWNSE.jpg" TargetMode="External"/><Relationship Id="rId1254" Type="http://schemas.openxmlformats.org/officeDocument/2006/relationships/hyperlink" Target="https://pbs.twimg.com/media/DtrjMlIXcAEJir8.jpg" TargetMode="External"/><Relationship Id="rId1461" Type="http://schemas.openxmlformats.org/officeDocument/2006/relationships/hyperlink" Target="https://youtu.be/WVk6--jHJ70" TargetMode="External"/><Relationship Id="rId2305" Type="http://schemas.openxmlformats.org/officeDocument/2006/relationships/hyperlink" Target="https://diariodelosjereles.com/" TargetMode="External"/><Relationship Id="rId929" Type="http://schemas.openxmlformats.org/officeDocument/2006/relationships/hyperlink" Target="https://www.instagram.com/p/BrC5Tr_IhN0/?utm_source=ig_twitter_share&amp;igshid=imoyl5pd1g3n" TargetMode="External"/><Relationship Id="rId1114" Type="http://schemas.openxmlformats.org/officeDocument/2006/relationships/hyperlink" Target="http://www.bitmomentum.com/" TargetMode="External"/><Relationship Id="rId1321" Type="http://schemas.openxmlformats.org/officeDocument/2006/relationships/hyperlink" Target="https://youtu.be/BoV99TEbq9s" TargetMode="External"/><Relationship Id="rId1559" Type="http://schemas.openxmlformats.org/officeDocument/2006/relationships/hyperlink" Target="https://digitalsevilla.com/2018/12/05/ana-rosa-al-lider-de-vox-va-al-gimnasio-hace-pesas-le-he-visto-en-fotos/" TargetMode="External"/><Relationship Id="rId1766" Type="http://schemas.openxmlformats.org/officeDocument/2006/relationships/hyperlink" Target="http://www.bitmomentum.com/" TargetMode="External"/><Relationship Id="rId1973" Type="http://schemas.openxmlformats.org/officeDocument/2006/relationships/hyperlink" Target="http://instagram.com/zombiegor" TargetMode="External"/><Relationship Id="rId58" Type="http://schemas.openxmlformats.org/officeDocument/2006/relationships/hyperlink" Target="https://pbs.twimg.com/media/Dt5dPX4WsAAQH7_.jpg" TargetMode="External"/><Relationship Id="rId1419" Type="http://schemas.openxmlformats.org/officeDocument/2006/relationships/hyperlink" Target="https://twitter.com/pnique/status/1069677893050093569" TargetMode="External"/><Relationship Id="rId1626" Type="http://schemas.openxmlformats.org/officeDocument/2006/relationships/hyperlink" Target="https://www.lasexta.com/programas/mas-vale-tarde/expediente-marlasca/beatriz-de-vicente-casi-el-70-de-los-infanticidios-estan-cometidos-por-mujeres_201807265b59f4b10cf2ad670ba7ae05.html" TargetMode="External"/><Relationship Id="rId1833" Type="http://schemas.openxmlformats.org/officeDocument/2006/relationships/hyperlink" Target="https://www.laverdad.es/elecciones/andaluzas/santiago-abascal-agresiones-mujeres-extranjeros-20181205204345-ntrc_amp.html?__twitter_impression=true" TargetMode="External"/><Relationship Id="rId1900" Type="http://schemas.openxmlformats.org/officeDocument/2006/relationships/hyperlink" Target="https://twitter.com/perdiguerosipep/status/1070219550241812481" TargetMode="External"/><Relationship Id="rId2095" Type="http://schemas.openxmlformats.org/officeDocument/2006/relationships/hyperlink" Target="http://www.dwachman.com/" TargetMode="External"/><Relationship Id="rId274" Type="http://schemas.openxmlformats.org/officeDocument/2006/relationships/hyperlink" Target="https://pbs.twimg.com/media/Dt13t7xWoAEmePd.jpg" TargetMode="External"/><Relationship Id="rId481" Type="http://schemas.openxmlformats.org/officeDocument/2006/relationships/hyperlink" Target="https://maldita.es/malditodato/cuando-abascal-cobraba-mas-que-el-presidente-del-gobierno-por-cargos-a-dedo-pagados-con-dinero-publico/" TargetMode="External"/><Relationship Id="rId2162" Type="http://schemas.openxmlformats.org/officeDocument/2006/relationships/hyperlink" Target="http://pic.twitter.com/qKo9SwmJUT" TargetMode="External"/><Relationship Id="rId134" Type="http://schemas.openxmlformats.org/officeDocument/2006/relationships/hyperlink" Target="http://pic.twitter.com/29JoJxcjsd" TargetMode="External"/><Relationship Id="rId579" Type="http://schemas.openxmlformats.org/officeDocument/2006/relationships/hyperlink" Target="http://pabloportales.blogspot.com.es/" TargetMode="External"/><Relationship Id="rId786" Type="http://schemas.openxmlformats.org/officeDocument/2006/relationships/hyperlink" Target="https://pbs.twimg.com/media/DtwH1xeW0AAq0pG.png" TargetMode="External"/><Relationship Id="rId993" Type="http://schemas.openxmlformats.org/officeDocument/2006/relationships/hyperlink" Target="https://pbs.twimg.com/media/DtudAkUWsAIJ2Jl.jpg" TargetMode="External"/><Relationship Id="rId341" Type="http://schemas.openxmlformats.org/officeDocument/2006/relationships/hyperlink" Target="http://pic.twitter.com/HVD6msgDY1" TargetMode="External"/><Relationship Id="rId439" Type="http://schemas.openxmlformats.org/officeDocument/2006/relationships/hyperlink" Target="https://twitter.com/Kovskayax/status/1071043929896828928" TargetMode="External"/><Relationship Id="rId646" Type="http://schemas.openxmlformats.org/officeDocument/2006/relationships/hyperlink" Target="http://www.pinterest.com/sitacros/" TargetMode="External"/><Relationship Id="rId1069" Type="http://schemas.openxmlformats.org/officeDocument/2006/relationships/hyperlink" Target="https://twitter.com/fnmoraleda/status/1070566510920433665" TargetMode="External"/><Relationship Id="rId1276" Type="http://schemas.openxmlformats.org/officeDocument/2006/relationships/hyperlink" Target="https://pbs.twimg.com/media/Dtrbm9wXQAUUqNz.jpg" TargetMode="External"/><Relationship Id="rId1483" Type="http://schemas.openxmlformats.org/officeDocument/2006/relationships/hyperlink" Target="https://curiouscat.me/Itsevolutionbaby" TargetMode="External"/><Relationship Id="rId2022" Type="http://schemas.openxmlformats.org/officeDocument/2006/relationships/hyperlink" Target="https://pbs.twimg.com/media/Dtm8HeVW0AAlRM6.jpg" TargetMode="External"/><Relationship Id="rId2327" Type="http://schemas.openxmlformats.org/officeDocument/2006/relationships/hyperlink" Target="https://youtu.be/S8_g6JS2z24" TargetMode="External"/><Relationship Id="rId201" Type="http://schemas.openxmlformats.org/officeDocument/2006/relationships/hyperlink" Target="http://manuel-lorente.blogspot.com.es/" TargetMode="External"/><Relationship Id="rId506" Type="http://schemas.openxmlformats.org/officeDocument/2006/relationships/hyperlink" Target="http://www.malostratosfalsos.com/" TargetMode="External"/><Relationship Id="rId853" Type="http://schemas.openxmlformats.org/officeDocument/2006/relationships/hyperlink" Target="https://pbs.twimg.com/media/Dtvc4jBUcAA85eO.jpg" TargetMode="External"/><Relationship Id="rId1136" Type="http://schemas.openxmlformats.org/officeDocument/2006/relationships/hyperlink" Target="https://occ.org.es/index.php/quienes-somos-que-hacemos/" TargetMode="External"/><Relationship Id="rId1690" Type="http://schemas.openxmlformats.org/officeDocument/2006/relationships/hyperlink" Target="https://pbs.twimg.com/media/DtpktMBWsAADVRp.jpg" TargetMode="External"/><Relationship Id="rId1788" Type="http://schemas.openxmlformats.org/officeDocument/2006/relationships/hyperlink" Target="http://pic.twitter.com/iyKjwNpU0e" TargetMode="External"/><Relationship Id="rId1995" Type="http://schemas.openxmlformats.org/officeDocument/2006/relationships/hyperlink" Target="https://twitter.com/marrullero/status/750752498118524928" TargetMode="External"/><Relationship Id="rId713" Type="http://schemas.openxmlformats.org/officeDocument/2006/relationships/hyperlink" Target="https://twitter.com/currusquita/status/1070777359228420103" TargetMode="External"/><Relationship Id="rId920" Type="http://schemas.openxmlformats.org/officeDocument/2006/relationships/hyperlink" Target="https://pbs.twimg.com/media/Dtu5zJ9WkAE7gUW.jpg" TargetMode="External"/><Relationship Id="rId1343" Type="http://schemas.openxmlformats.org/officeDocument/2006/relationships/hyperlink" Target="https://pbs.twimg.com/media/DtpU7jLXgAAM44r.jpg" TargetMode="External"/><Relationship Id="rId1550" Type="http://schemas.openxmlformats.org/officeDocument/2006/relationships/hyperlink" Target="http://albertosanzblanco.wordpress.com/" TargetMode="External"/><Relationship Id="rId1648" Type="http://schemas.openxmlformats.org/officeDocument/2006/relationships/hyperlink" Target="https://pbs.twimg.com/media/DtptO2nWoAE3nhJ.jpg" TargetMode="External"/><Relationship Id="rId1203" Type="http://schemas.openxmlformats.org/officeDocument/2006/relationships/hyperlink" Target="https://okdiario.com/espana/2018/12/05/santiago-abascal-haremos-levantado-alfombras-acabar-anos-corrupcion-clientelar-andalucia-3429560?utm_campaign=ok&amp;utm_medium=Social&amp;utm_source=Twitter" TargetMode="External"/><Relationship Id="rId1410" Type="http://schemas.openxmlformats.org/officeDocument/2006/relationships/hyperlink" Target="https://www.elmundo.es/cultura/toros/2018/12/05/5c079391fdddff5b688b4681.html" TargetMode="External"/><Relationship Id="rId1508" Type="http://schemas.openxmlformats.org/officeDocument/2006/relationships/hyperlink" Target="https://pbs.twimg.com/media/DtpSIPMWsAA8nMe.jpg" TargetMode="External"/><Relationship Id="rId1855" Type="http://schemas.openxmlformats.org/officeDocument/2006/relationships/hyperlink" Target="https://pbs.twimg.com/media/DtpAEkaWoAEcwGJ.jpg" TargetMode="External"/><Relationship Id="rId1715" Type="http://schemas.openxmlformats.org/officeDocument/2006/relationships/hyperlink" Target="http://vlazeck.blogspot.com/" TargetMode="External"/><Relationship Id="rId1922" Type="http://schemas.openxmlformats.org/officeDocument/2006/relationships/hyperlink" Target="https://www.elmundo.es/pais-vasco/2018/12/05/5c06ee5f21efa089208b4777.html" TargetMode="External"/><Relationship Id="rId296" Type="http://schemas.openxmlformats.org/officeDocument/2006/relationships/hyperlink" Target="https://twitter.com/elespanolcom/status/1071031572650897408" TargetMode="External"/><Relationship Id="rId2184" Type="http://schemas.openxmlformats.org/officeDocument/2006/relationships/hyperlink" Target="http://www.clubceo.es/" TargetMode="External"/><Relationship Id="rId2391" Type="http://schemas.openxmlformats.org/officeDocument/2006/relationships/hyperlink" Target="https://www.youtube.com/channel/UCbsqmPFw5AcSfbcnauR96bQ" TargetMode="External"/><Relationship Id="rId156" Type="http://schemas.openxmlformats.org/officeDocument/2006/relationships/hyperlink" Target="http://www.bitmomentum.com/" TargetMode="External"/><Relationship Id="rId363" Type="http://schemas.openxmlformats.org/officeDocument/2006/relationships/hyperlink" Target="https://twitter.com/pnique/status/1070041235048534016" TargetMode="External"/><Relationship Id="rId570" Type="http://schemas.openxmlformats.org/officeDocument/2006/relationships/hyperlink" Target="https://pbs.twimg.com/media/Dtw_d7JW4AAeyTa.jpg" TargetMode="External"/><Relationship Id="rId2044" Type="http://schemas.openxmlformats.org/officeDocument/2006/relationships/hyperlink" Target="http://bit.ly/ygqfDD" TargetMode="External"/><Relationship Id="rId2251" Type="http://schemas.openxmlformats.org/officeDocument/2006/relationships/hyperlink" Target="https://pbs.twimg.com/media/DtlwcADWwAE06YL.jpg" TargetMode="External"/><Relationship Id="rId223" Type="http://schemas.openxmlformats.org/officeDocument/2006/relationships/hyperlink" Target="https://pbs.twimg.com/media/DtzktrRX4AAVLRM.jpg" TargetMode="External"/><Relationship Id="rId430" Type="http://schemas.openxmlformats.org/officeDocument/2006/relationships/hyperlink" Target="https://okdiario.com/espana/2018/12/07/iglesias-da-razon-abascal-derecho-portar-armas-bases-democracia-3438627?utm_campaign=ok&amp;utm_medium=Social&amp;utm_source=Twitter" TargetMode="External"/><Relationship Id="rId668" Type="http://schemas.openxmlformats.org/officeDocument/2006/relationships/hyperlink" Target="https://youtu.be/u37RF5xKNq8" TargetMode="External"/><Relationship Id="rId875" Type="http://schemas.openxmlformats.org/officeDocument/2006/relationships/hyperlink" Target="https://www.libertaddigital.com/opinion/santiago-abascal/pablo-el-infierno-mismo-78791/" TargetMode="External"/><Relationship Id="rId1060" Type="http://schemas.openxmlformats.org/officeDocument/2006/relationships/hyperlink" Target="https://bit.ly/2Uejh1W" TargetMode="External"/><Relationship Id="rId1298" Type="http://schemas.openxmlformats.org/officeDocument/2006/relationships/hyperlink" Target="http://www.elmundo.es/pais-vasco/2018/12/05/5c06ee5f21efa089208b4777.html" TargetMode="External"/><Relationship Id="rId2111" Type="http://schemas.openxmlformats.org/officeDocument/2006/relationships/hyperlink" Target="http://www.bitmomentum.com/" TargetMode="External"/><Relationship Id="rId2349" Type="http://schemas.openxmlformats.org/officeDocument/2006/relationships/hyperlink" Target="http://granadah.info/3i_dd1" TargetMode="External"/><Relationship Id="rId528" Type="http://schemas.openxmlformats.org/officeDocument/2006/relationships/hyperlink" Target="https://youtu.be/RaSIX4-RPAI" TargetMode="External"/><Relationship Id="rId735" Type="http://schemas.openxmlformats.org/officeDocument/2006/relationships/hyperlink" Target="http://instagram.com/irethflames/" TargetMode="External"/><Relationship Id="rId942" Type="http://schemas.openxmlformats.org/officeDocument/2006/relationships/hyperlink" Target="https://pbs.twimg.com/media/DtuxAuqWwAAYwbj.jpg" TargetMode="External"/><Relationship Id="rId1158" Type="http://schemas.openxmlformats.org/officeDocument/2006/relationships/hyperlink" Target="http://www.lanuevaandalucia.com/andalucia/miembros-del-ku-klux-klan-felicitan-a-santiago-abascal/" TargetMode="External"/><Relationship Id="rId1365" Type="http://schemas.openxmlformats.org/officeDocument/2006/relationships/hyperlink" Target="https://pbs.twimg.com/media/Dtq-zaOWoAI-_df.jpg" TargetMode="External"/><Relationship Id="rId1572" Type="http://schemas.openxmlformats.org/officeDocument/2006/relationships/hyperlink" Target="http://pic.twitter.com/mMS7r4hjgG" TargetMode="External"/><Relationship Id="rId2209" Type="http://schemas.openxmlformats.org/officeDocument/2006/relationships/hyperlink" Target="https://pbs.twimg.com/media/Dtli0AwX4AEc4-0.jpg" TargetMode="External"/><Relationship Id="rId1018" Type="http://schemas.openxmlformats.org/officeDocument/2006/relationships/hyperlink" Target="https://twitter.com/lbalcarce/status/1070599229394092033" TargetMode="External"/><Relationship Id="rId1225" Type="http://schemas.openxmlformats.org/officeDocument/2006/relationships/hyperlink" Target="https://twitter.com/Albert_Rivera/status/1070425503234961410?s=19" TargetMode="External"/><Relationship Id="rId1432" Type="http://schemas.openxmlformats.org/officeDocument/2006/relationships/hyperlink" Target="https://pbs.twimg.com/media/DtqrDBwWwAIHhQ6.jpg" TargetMode="External"/><Relationship Id="rId1877" Type="http://schemas.openxmlformats.org/officeDocument/2006/relationships/hyperlink" Target="https://twitter.com/monasterior/status/1070232458354937856" TargetMode="External"/><Relationship Id="rId71" Type="http://schemas.openxmlformats.org/officeDocument/2006/relationships/hyperlink" Target="https://youtu.be/J0xfknaNOrM" TargetMode="External"/><Relationship Id="rId802" Type="http://schemas.openxmlformats.org/officeDocument/2006/relationships/hyperlink" Target="https://pbs.twimg.com/media/DtwAIXdXQAEduoQ.jpg" TargetMode="External"/><Relationship Id="rId1737" Type="http://schemas.openxmlformats.org/officeDocument/2006/relationships/hyperlink" Target="https://pbs.twimg.com/media/DtpVszwWsAAB-Th.jpg" TargetMode="External"/><Relationship Id="rId1944" Type="http://schemas.openxmlformats.org/officeDocument/2006/relationships/hyperlink" Target="https://www.voxespana.es/afiliarse-a-vox" TargetMode="External"/><Relationship Id="rId29" Type="http://schemas.openxmlformats.org/officeDocument/2006/relationships/hyperlink" Target="http://www.bitmomentum.com/" TargetMode="External"/><Relationship Id="rId178" Type="http://schemas.openxmlformats.org/officeDocument/2006/relationships/hyperlink" Target="http://www.bitmomentum.com/" TargetMode="External"/><Relationship Id="rId1804" Type="http://schemas.openxmlformats.org/officeDocument/2006/relationships/hyperlink" Target="https://pbs.twimg.com/media/DtpIVYdXgAUmTLv.jpg" TargetMode="External"/><Relationship Id="rId385" Type="http://schemas.openxmlformats.org/officeDocument/2006/relationships/hyperlink" Target="https://www.instagram.com/p/BrF8LJ6l4xs/?utm_source=ig_twitter_share&amp;igshid=1407a5cjiaeg5" TargetMode="External"/><Relationship Id="rId592" Type="http://schemas.openxmlformats.org/officeDocument/2006/relationships/hyperlink" Target="https://twitter.com/tonicanto1/status/1070592172469170177" TargetMode="External"/><Relationship Id="rId2066" Type="http://schemas.openxmlformats.org/officeDocument/2006/relationships/hyperlink" Target="http://pic.twitter.com/iIRUJHWcB8" TargetMode="External"/><Relationship Id="rId2273" Type="http://schemas.openxmlformats.org/officeDocument/2006/relationships/hyperlink" Target="http://www.jorgealexandre.es/" TargetMode="External"/><Relationship Id="rId245" Type="http://schemas.openxmlformats.org/officeDocument/2006/relationships/hyperlink" Target="https://pbs.twimg.com/media/Dt2LToBXQAA9uQv.jpg" TargetMode="External"/><Relationship Id="rId452" Type="http://schemas.openxmlformats.org/officeDocument/2006/relationships/hyperlink" Target="https://pbs.twimg.com/media/Dt0fBbKX4AA-JbF.png" TargetMode="External"/><Relationship Id="rId897" Type="http://schemas.openxmlformats.org/officeDocument/2006/relationships/hyperlink" Target="https://pbs.twimg.com/media/DtvG4_7XgAA0oMK.jpg" TargetMode="External"/><Relationship Id="rId1082" Type="http://schemas.openxmlformats.org/officeDocument/2006/relationships/hyperlink" Target="https://twitter.com/doctorYekyll/status/1070443182356353024" TargetMode="External"/><Relationship Id="rId2133" Type="http://schemas.openxmlformats.org/officeDocument/2006/relationships/hyperlink" Target="http://www.skynetcorporation.com/" TargetMode="External"/><Relationship Id="rId2340" Type="http://schemas.openxmlformats.org/officeDocument/2006/relationships/hyperlink" Target="https://www.diaribalear.es/" TargetMode="External"/><Relationship Id="rId105" Type="http://schemas.openxmlformats.org/officeDocument/2006/relationships/hyperlink" Target="http://www.bitmomentum.com/" TargetMode="External"/><Relationship Id="rId312" Type="http://schemas.openxmlformats.org/officeDocument/2006/relationships/hyperlink" Target="https://twitter.com/RIVAS_Llanera/status/1071017610152738817" TargetMode="External"/><Relationship Id="rId757" Type="http://schemas.openxmlformats.org/officeDocument/2006/relationships/hyperlink" Target="http://pic.twitter.com/EX9HLd8oZA" TargetMode="External"/><Relationship Id="rId964" Type="http://schemas.openxmlformats.org/officeDocument/2006/relationships/hyperlink" Target="https://www.elmundo.es/cataluna/2018/12/06/5c08f974fc6c834c318b47ab.html" TargetMode="External"/><Relationship Id="rId1387" Type="http://schemas.openxmlformats.org/officeDocument/2006/relationships/hyperlink" Target="http://www.sueldospublicos.com/" TargetMode="External"/><Relationship Id="rId1594" Type="http://schemas.openxmlformats.org/officeDocument/2006/relationships/hyperlink" Target="https://pbs.twimg.com/media/DtpSIPMWsAA8nMe.jpg" TargetMode="External"/><Relationship Id="rId2200" Type="http://schemas.openxmlformats.org/officeDocument/2006/relationships/hyperlink" Target="http://www.bitmomentum.com/" TargetMode="External"/><Relationship Id="rId93" Type="http://schemas.openxmlformats.org/officeDocument/2006/relationships/hyperlink" Target="http://www.outono.net/elentir/2018/12/08/el-milagro-de-empel-asi-llego-la-inmaculada-concepcion-a-erigirse-en-patrona-de-espana/?fbclid=IwAR37t6JvYI32KEn8F0Wl22kUnSh2pXY343PbmUc51tt6wwRFf-ts_1LpLdc" TargetMode="External"/><Relationship Id="rId617" Type="http://schemas.openxmlformats.org/officeDocument/2006/relationships/hyperlink" Target="http://pic.twitter.com/I6sNtMichv" TargetMode="External"/><Relationship Id="rId824" Type="http://schemas.openxmlformats.org/officeDocument/2006/relationships/hyperlink" Target="http://voxespana.es/vox" TargetMode="External"/><Relationship Id="rId1247" Type="http://schemas.openxmlformats.org/officeDocument/2006/relationships/hyperlink" Target="https://twitter.com/Iubichris/status/1070418146455142400" TargetMode="External"/><Relationship Id="rId1454" Type="http://schemas.openxmlformats.org/officeDocument/2006/relationships/hyperlink" Target="https://m.eldiario.es/323ad35a_842715994/" TargetMode="External"/><Relationship Id="rId1661" Type="http://schemas.openxmlformats.org/officeDocument/2006/relationships/hyperlink" Target="http://nuevarevolucion.es/firmas/daniel-seijo/" TargetMode="External"/><Relationship Id="rId1899" Type="http://schemas.openxmlformats.org/officeDocument/2006/relationships/hyperlink" Target="http://www.lasprovincias.es/" TargetMode="External"/><Relationship Id="rId1107" Type="http://schemas.openxmlformats.org/officeDocument/2006/relationships/hyperlink" Target="http://synergycoaching360.com/" TargetMode="External"/><Relationship Id="rId1314" Type="http://schemas.openxmlformats.org/officeDocument/2006/relationships/hyperlink" Target="https://twitter.com/Pepe_Fdez/status/1070313511564255233" TargetMode="External"/><Relationship Id="rId1521" Type="http://schemas.openxmlformats.org/officeDocument/2006/relationships/hyperlink" Target="http://www.lextres.com/" TargetMode="External"/><Relationship Id="rId1759" Type="http://schemas.openxmlformats.org/officeDocument/2006/relationships/hyperlink" Target="http://www.periodistadigital.com/" TargetMode="External"/><Relationship Id="rId1966" Type="http://schemas.openxmlformats.org/officeDocument/2006/relationships/hyperlink" Target="https://pbs.twimg.com/media/DtfN4CcU4AA321N.jpg" TargetMode="External"/><Relationship Id="rId1619" Type="http://schemas.openxmlformats.org/officeDocument/2006/relationships/hyperlink" Target="http://pic.twitter.com/hIY6YlXeog" TargetMode="External"/><Relationship Id="rId1826" Type="http://schemas.openxmlformats.org/officeDocument/2006/relationships/hyperlink" Target="https://pbs.twimg.com/media/DtpEu4XWkAYdJnp.jpg" TargetMode="External"/><Relationship Id="rId20" Type="http://schemas.openxmlformats.org/officeDocument/2006/relationships/hyperlink" Target="http://agorafutura.wordpress.com/" TargetMode="External"/><Relationship Id="rId2088" Type="http://schemas.openxmlformats.org/officeDocument/2006/relationships/hyperlink" Target="http://respuestasveganas.org/" TargetMode="External"/><Relationship Id="rId2295" Type="http://schemas.openxmlformats.org/officeDocument/2006/relationships/hyperlink" Target="https://www.youtube.com/watch?v=8dZtPmZRzQw" TargetMode="External"/><Relationship Id="rId267" Type="http://schemas.openxmlformats.org/officeDocument/2006/relationships/hyperlink" Target="http://pic.twitter.com/Q0rP8VUGoV" TargetMode="External"/><Relationship Id="rId474" Type="http://schemas.openxmlformats.org/officeDocument/2006/relationships/hyperlink" Target="https://twitter.com/olaladefua/status/1069608628045402113" TargetMode="External"/><Relationship Id="rId2155" Type="http://schemas.openxmlformats.org/officeDocument/2006/relationships/hyperlink" Target="http://santacreu.redsat.net/vox-lo-logramos-porque-no-sabiamos-que-era-imposible/" TargetMode="External"/><Relationship Id="rId127" Type="http://schemas.openxmlformats.org/officeDocument/2006/relationships/hyperlink" Target="https://pbs.twimg.com/media/Dt4flW4WkAEaOJC.jpg" TargetMode="External"/><Relationship Id="rId681" Type="http://schemas.openxmlformats.org/officeDocument/2006/relationships/hyperlink" Target="http://pic.twitter.com/P4q16pT5Wv" TargetMode="External"/><Relationship Id="rId779" Type="http://schemas.openxmlformats.org/officeDocument/2006/relationships/hyperlink" Target="http://www.web.com/y/muchas/abengoas" TargetMode="External"/><Relationship Id="rId986" Type="http://schemas.openxmlformats.org/officeDocument/2006/relationships/hyperlink" Target="http://titeresdesdeabajo.blogspot.com.es/2012/11/compania-de-titeres-desde-abajo.html?m=1" TargetMode="External"/><Relationship Id="rId2362" Type="http://schemas.openxmlformats.org/officeDocument/2006/relationships/hyperlink" Target="https://pbs.twimg.com/media/DtlIY3FW4AIfKjJ.jpg" TargetMode="External"/><Relationship Id="rId334" Type="http://schemas.openxmlformats.org/officeDocument/2006/relationships/hyperlink" Target="http://directoalmentonjosequijadarubira.blogspot.com.es/" TargetMode="External"/><Relationship Id="rId541" Type="http://schemas.openxmlformats.org/officeDocument/2006/relationships/hyperlink" Target="https://pbs.twimg.com/media/Dtzv4CuXcAA5HMu.jpg" TargetMode="External"/><Relationship Id="rId639" Type="http://schemas.openxmlformats.org/officeDocument/2006/relationships/hyperlink" Target="https://www.libertaddigital.com/espana/politica/2018-12-06/casado-abre-ya-la-negociacion-con-rivera-sobre-andalucia-el-objetivo-pacto-global-antes-del-27d-1276629490/" TargetMode="External"/><Relationship Id="rId1171" Type="http://schemas.openxmlformats.org/officeDocument/2006/relationships/hyperlink" Target="https://twitter.com/Mazzinguerzett1/status/1070284327152431104" TargetMode="External"/><Relationship Id="rId1269" Type="http://schemas.openxmlformats.org/officeDocument/2006/relationships/hyperlink" Target="https://twitter.com/vox_es/status/1070393579317673992" TargetMode="External"/><Relationship Id="rId1476" Type="http://schemas.openxmlformats.org/officeDocument/2006/relationships/hyperlink" Target="http://pic.twitter.com/gSYKXmYFCM" TargetMode="External"/><Relationship Id="rId2015" Type="http://schemas.openxmlformats.org/officeDocument/2006/relationships/hyperlink" Target="https://twitter.com/TeresaRodr_/status/1070076552392650752" TargetMode="External"/><Relationship Id="rId2222" Type="http://schemas.openxmlformats.org/officeDocument/2006/relationships/hyperlink" Target="https://pbs.twimg.com/media/Dtl6_6nU8AAjtrl.jpg" TargetMode="External"/><Relationship Id="rId401" Type="http://schemas.openxmlformats.org/officeDocument/2006/relationships/hyperlink" Target="https://pbs.twimg.com/media/Dt03mfpW0AAKF_R.jpg" TargetMode="External"/><Relationship Id="rId846" Type="http://schemas.openxmlformats.org/officeDocument/2006/relationships/hyperlink" Target="http://www.amanecequenoespoco.com/" TargetMode="External"/><Relationship Id="rId1031" Type="http://schemas.openxmlformats.org/officeDocument/2006/relationships/hyperlink" Target="https://www.elconfidencial.com/cultura/2018-12-06/cronica-urgente-espana-museo-cera-cabeza-rivera-broma_1678174/" TargetMode="External"/><Relationship Id="rId1129" Type="http://schemas.openxmlformats.org/officeDocument/2006/relationships/hyperlink" Target="https://pbs.twimg.com/media/DtseEU4W0AEO41G.jpg" TargetMode="External"/><Relationship Id="rId1683" Type="http://schemas.openxmlformats.org/officeDocument/2006/relationships/hyperlink" Target="https://www.eitb.eus/es/television/programas/en-jake/" TargetMode="External"/><Relationship Id="rId1890" Type="http://schemas.openxmlformats.org/officeDocument/2006/relationships/hyperlink" Target="https://debate21.es/2018/12/05/vox-no-es-blas-pinar/" TargetMode="External"/><Relationship Id="rId1988" Type="http://schemas.openxmlformats.org/officeDocument/2006/relationships/hyperlink" Target="http://pic.twitter.com/GN8cWFlNAG" TargetMode="External"/><Relationship Id="rId706" Type="http://schemas.openxmlformats.org/officeDocument/2006/relationships/hyperlink" Target="https://pbs.twimg.com/media/DtxBoXRXgAEXAOk.jpg" TargetMode="External"/><Relationship Id="rId913" Type="http://schemas.openxmlformats.org/officeDocument/2006/relationships/hyperlink" Target="http://www.xaviboadavila.com/" TargetMode="External"/><Relationship Id="rId1336" Type="http://schemas.openxmlformats.org/officeDocument/2006/relationships/hyperlink" Target="https://pbs.twimg.com/media/DtrJpQGWkAMFvuT.jpg" TargetMode="External"/><Relationship Id="rId1543" Type="http://schemas.openxmlformats.org/officeDocument/2006/relationships/hyperlink" Target="http://www.mensajerialowcost.es/" TargetMode="External"/><Relationship Id="rId1750" Type="http://schemas.openxmlformats.org/officeDocument/2006/relationships/hyperlink" Target="http://www.instagram.com/martamentazione" TargetMode="External"/><Relationship Id="rId42" Type="http://schemas.openxmlformats.org/officeDocument/2006/relationships/hyperlink" Target="http://www.eleconomista.es/" TargetMode="External"/><Relationship Id="rId1403" Type="http://schemas.openxmlformats.org/officeDocument/2006/relationships/hyperlink" Target="http://www.instagram.com/danilittlemonster16" TargetMode="External"/><Relationship Id="rId1610" Type="http://schemas.openxmlformats.org/officeDocument/2006/relationships/hyperlink" Target="https://twitter.com/julio_patria/status/1070245033457139712" TargetMode="External"/><Relationship Id="rId1848" Type="http://schemas.openxmlformats.org/officeDocument/2006/relationships/hyperlink" Target="http://www.sipepol.es/" TargetMode="External"/><Relationship Id="rId191" Type="http://schemas.openxmlformats.org/officeDocument/2006/relationships/hyperlink" Target="http://www.bitmomentum.com/" TargetMode="External"/><Relationship Id="rId1708" Type="http://schemas.openxmlformats.org/officeDocument/2006/relationships/hyperlink" Target="http://www.josemariamanzanares.com/" TargetMode="External"/><Relationship Id="rId1915" Type="http://schemas.openxmlformats.org/officeDocument/2006/relationships/hyperlink" Target="http://pic.twitter.com/VzP4NBg8k9" TargetMode="External"/><Relationship Id="rId289" Type="http://schemas.openxmlformats.org/officeDocument/2006/relationships/hyperlink" Target="https://twitter.com/HispaniaFortius" TargetMode="External"/><Relationship Id="rId496" Type="http://schemas.openxmlformats.org/officeDocument/2006/relationships/hyperlink" Target="https://pbs.twimg.com/media/Dt0IoWeXQAAzKlK.jpg" TargetMode="External"/><Relationship Id="rId2177" Type="http://schemas.openxmlformats.org/officeDocument/2006/relationships/hyperlink" Target="https://es.noticias.yahoo.com/el-plan-de-dinamarca-para-aislar-los-inmigrantes-que-no-quiere-en-una-isla-diminuta-110954009.html" TargetMode="External"/><Relationship Id="rId2384" Type="http://schemas.openxmlformats.org/officeDocument/2006/relationships/hyperlink" Target="http://actualidadyanalisis.blogspot.com/" TargetMode="External"/><Relationship Id="rId149" Type="http://schemas.openxmlformats.org/officeDocument/2006/relationships/hyperlink" Target="https://twitter.com/manelmarquez/status/1071302528615223296" TargetMode="External"/><Relationship Id="rId356" Type="http://schemas.openxmlformats.org/officeDocument/2006/relationships/hyperlink" Target="http://pic.twitter.com/LSGPLvBwAo" TargetMode="External"/><Relationship Id="rId563" Type="http://schemas.openxmlformats.org/officeDocument/2006/relationships/hyperlink" Target="https://pbs.twimg.com/media/DtzjUv_XQAUPzHY.jpg" TargetMode="External"/><Relationship Id="rId770" Type="http://schemas.openxmlformats.org/officeDocument/2006/relationships/hyperlink" Target="https://www.servimedia.es/noticias/1098144" TargetMode="External"/><Relationship Id="rId1193" Type="http://schemas.openxmlformats.org/officeDocument/2006/relationships/hyperlink" Target="https://pbs.twimg.com/media/Dtr4WYnW0AAbNDe.jpg" TargetMode="External"/><Relationship Id="rId2037" Type="http://schemas.openxmlformats.org/officeDocument/2006/relationships/hyperlink" Target="http://pic.twitter.com/6FsIqU79q4" TargetMode="External"/><Relationship Id="rId2244" Type="http://schemas.openxmlformats.org/officeDocument/2006/relationships/hyperlink" Target="https://goo.gl/hCfbwz" TargetMode="External"/><Relationship Id="rId216" Type="http://schemas.openxmlformats.org/officeDocument/2006/relationships/hyperlink" Target="http://opinionesextremas.blogspot.com/" TargetMode="External"/><Relationship Id="rId423" Type="http://schemas.openxmlformats.org/officeDocument/2006/relationships/hyperlink" Target="https://pbs.twimg.com/media/Dt0oki6XQAAKRAf.jpg" TargetMode="External"/><Relationship Id="rId868" Type="http://schemas.openxmlformats.org/officeDocument/2006/relationships/hyperlink" Target="https://youtu.be/vAdPrKzQ2vE" TargetMode="External"/><Relationship Id="rId1053" Type="http://schemas.openxmlformats.org/officeDocument/2006/relationships/hyperlink" Target="https://pbs.twimg.com/media/DtuC83iXcAI7eYH.jpg" TargetMode="External"/><Relationship Id="rId1260" Type="http://schemas.openxmlformats.org/officeDocument/2006/relationships/hyperlink" Target="https://twitter.com/jdoedoe101101/status/1070361377041195008" TargetMode="External"/><Relationship Id="rId1498" Type="http://schemas.openxmlformats.org/officeDocument/2006/relationships/hyperlink" Target="http://pic.twitter.com/uJ1YRKMr26" TargetMode="External"/><Relationship Id="rId2104" Type="http://schemas.openxmlformats.org/officeDocument/2006/relationships/hyperlink" Target="https://pbs.twimg.com/media/Dtmgm_RXgAUvLpI.jpg" TargetMode="External"/><Relationship Id="rId630" Type="http://schemas.openxmlformats.org/officeDocument/2006/relationships/hyperlink" Target="https://pbs.twimg.com/media/Dty3ocAWsAAEkF8.jpg" TargetMode="External"/><Relationship Id="rId728" Type="http://schemas.openxmlformats.org/officeDocument/2006/relationships/hyperlink" Target="https://www.cope.es/n/305975" TargetMode="External"/><Relationship Id="rId935" Type="http://schemas.openxmlformats.org/officeDocument/2006/relationships/hyperlink" Target="http://pic.twitter.com/P4q16pT5Wv" TargetMode="External"/><Relationship Id="rId1358" Type="http://schemas.openxmlformats.org/officeDocument/2006/relationships/hyperlink" Target="https://pbs.twimg.com/media/DtrBhI6XgAQBD6R.jpg" TargetMode="External"/><Relationship Id="rId1565" Type="http://schemas.openxmlformats.org/officeDocument/2006/relationships/hyperlink" Target="https://www.telecinco.es/elprogramadeanarosa/entrevista-completa-lider-vox_2_2670180051.html" TargetMode="External"/><Relationship Id="rId1772" Type="http://schemas.openxmlformats.org/officeDocument/2006/relationships/hyperlink" Target="http://www.casoaislado.com/" TargetMode="External"/><Relationship Id="rId2311" Type="http://schemas.openxmlformats.org/officeDocument/2006/relationships/hyperlink" Target="http://www.psoe.es/" TargetMode="External"/><Relationship Id="rId64" Type="http://schemas.openxmlformats.org/officeDocument/2006/relationships/hyperlink" Target="http://www.bitmomentum.com/" TargetMode="External"/><Relationship Id="rId1120" Type="http://schemas.openxmlformats.org/officeDocument/2006/relationships/hyperlink" Target="http://www.bitmomentum.com/" TargetMode="External"/><Relationship Id="rId1218" Type="http://schemas.openxmlformats.org/officeDocument/2006/relationships/hyperlink" Target="http://www.pueblooriginario.com.ar/" TargetMode="External"/><Relationship Id="rId1425" Type="http://schemas.openxmlformats.org/officeDocument/2006/relationships/hyperlink" Target="https://youtu.be/xh72exxWHqA" TargetMode="External"/><Relationship Id="rId1632" Type="http://schemas.openxmlformats.org/officeDocument/2006/relationships/hyperlink" Target="http://www.cantabria24horas.com/noticias/lo-que-santiago-abascal-cont-en-una-sincera-entrevista-as-piensa-realmente-vox/76095" TargetMode="External"/><Relationship Id="rId1937" Type="http://schemas.openxmlformats.org/officeDocument/2006/relationships/hyperlink" Target="https://lahoradigital.com/noticia/17798/opinion/los-monstruos-se-han-despertado-en-andalucia.html" TargetMode="External"/><Relationship Id="rId2199" Type="http://schemas.openxmlformats.org/officeDocument/2006/relationships/hyperlink" Target="http://blogdenachodiazdelgado.blogspot.com/" TargetMode="External"/><Relationship Id="rId280" Type="http://schemas.openxmlformats.org/officeDocument/2006/relationships/hyperlink" Target="https://twitter.com/FSerranoCastro/status/1071036193553440770" TargetMode="External"/><Relationship Id="rId140" Type="http://schemas.openxmlformats.org/officeDocument/2006/relationships/hyperlink" Target="https://twitter.com/LeticiaDolera/status/1071090793560051714" TargetMode="External"/><Relationship Id="rId378" Type="http://schemas.openxmlformats.org/officeDocument/2006/relationships/hyperlink" Target="http://pic.twitter.com/y9xH5stEOA" TargetMode="External"/><Relationship Id="rId585" Type="http://schemas.openxmlformats.org/officeDocument/2006/relationships/hyperlink" Target="https://pbs.twimg.com/media/DtzWscZXcAEreI0.jpg" TargetMode="External"/><Relationship Id="rId792" Type="http://schemas.openxmlformats.org/officeDocument/2006/relationships/hyperlink" Target="http://pic.twitter.com/jkR7lBE4GT" TargetMode="External"/><Relationship Id="rId2059" Type="http://schemas.openxmlformats.org/officeDocument/2006/relationships/hyperlink" Target="https://pbs.twimg.com/media/DtmuNPVXcAAJn6U.jpg" TargetMode="External"/><Relationship Id="rId2266" Type="http://schemas.openxmlformats.org/officeDocument/2006/relationships/hyperlink" Target="https://twitter.com/alfahispania70/status/1069406551503458306" TargetMode="External"/><Relationship Id="rId6" Type="http://schemas.openxmlformats.org/officeDocument/2006/relationships/hyperlink" Target="https://pbs.twimg.com/media/Dt6DoWtWwAEwyO2.jpg" TargetMode="External"/><Relationship Id="rId238" Type="http://schemas.openxmlformats.org/officeDocument/2006/relationships/hyperlink" Target="https://letterboxd.com/jordinen" TargetMode="External"/><Relationship Id="rId445" Type="http://schemas.openxmlformats.org/officeDocument/2006/relationships/hyperlink" Target="https://disidentes.online/" TargetMode="External"/><Relationship Id="rId652" Type="http://schemas.openxmlformats.org/officeDocument/2006/relationships/hyperlink" Target="https://twitter.com/El_patriotaESP/status/1070837068773974016/photo/1" TargetMode="External"/><Relationship Id="rId1075" Type="http://schemas.openxmlformats.org/officeDocument/2006/relationships/hyperlink" Target="https://twitter.com/vox_es/status/1070393579317673992" TargetMode="External"/><Relationship Id="rId1282" Type="http://schemas.openxmlformats.org/officeDocument/2006/relationships/hyperlink" Target="http://jupodino.blogspot.com.es/" TargetMode="External"/><Relationship Id="rId2126" Type="http://schemas.openxmlformats.org/officeDocument/2006/relationships/hyperlink" Target="https://www.cope.es/v/590190" TargetMode="External"/><Relationship Id="rId2333" Type="http://schemas.openxmlformats.org/officeDocument/2006/relationships/hyperlink" Target="http://www.bitmomentum.com/" TargetMode="External"/><Relationship Id="rId305" Type="http://schemas.openxmlformats.org/officeDocument/2006/relationships/hyperlink" Target="https://twitter.com/inglesaldia/status/1071128989392097284" TargetMode="External"/><Relationship Id="rId512" Type="http://schemas.openxmlformats.org/officeDocument/2006/relationships/hyperlink" Target="https://twitter.com/alwaysfree86/status/1070299080906211329?s=19" TargetMode="External"/><Relationship Id="rId957" Type="http://schemas.openxmlformats.org/officeDocument/2006/relationships/hyperlink" Target="https://youtu.be/sRfAUZ059S8" TargetMode="External"/><Relationship Id="rId1142" Type="http://schemas.openxmlformats.org/officeDocument/2006/relationships/hyperlink" Target="https://pbs.twimg.com/media/DtsODMFWwAYO34j.jpg" TargetMode="External"/><Relationship Id="rId1587" Type="http://schemas.openxmlformats.org/officeDocument/2006/relationships/hyperlink" Target="http://www.elmundo.es/andalucia/2018/12/04/5c0701e5fc6c83a34e8b461b.html" TargetMode="External"/><Relationship Id="rId1794" Type="http://schemas.openxmlformats.org/officeDocument/2006/relationships/hyperlink" Target="https://pbs.twimg.com/media/DtpLSvoW0AEp2Br.jpg" TargetMode="External"/><Relationship Id="rId2400" Type="http://schemas.openxmlformats.org/officeDocument/2006/relationships/hyperlink" Target="https://m.eldiario.es/politica/Abascal-politico-autonomias-quiere-acabar_0_842366659.html" TargetMode="External"/><Relationship Id="rId86" Type="http://schemas.openxmlformats.org/officeDocument/2006/relationships/hyperlink" Target="https://okdiario.com/internacional/2018/12/08/iran-amenaza-occidente-diluvio-drogas-refugiados-atentados-si-continuan-sanciones-3441895/amp" TargetMode="External"/><Relationship Id="rId817" Type="http://schemas.openxmlformats.org/officeDocument/2006/relationships/hyperlink" Target="https://twitter.com/lbalcarce/status/1070599229394092033" TargetMode="External"/><Relationship Id="rId1002" Type="http://schemas.openxmlformats.org/officeDocument/2006/relationships/hyperlink" Target="http://pic.twitter.com/Nu9E0VdTyh" TargetMode="External"/><Relationship Id="rId1447" Type="http://schemas.openxmlformats.org/officeDocument/2006/relationships/hyperlink" Target="https://ecoteuve.eleconomista.es/programas/noticias/9564085/12/18/Santiago-Abascal-y-Ana-Rosa-Quintana-se-enzarzan-por-la-violencia-machista-en-la-primera-entrevista-al-lider-de-Vox-.html" TargetMode="External"/><Relationship Id="rId1654" Type="http://schemas.openxmlformats.org/officeDocument/2006/relationships/hyperlink" Target="https://twitter.com/MaceirasRam/status/1070246527149502464" TargetMode="External"/><Relationship Id="rId1861" Type="http://schemas.openxmlformats.org/officeDocument/2006/relationships/hyperlink" Target="http://www.instagram.com/maanubetico24" TargetMode="External"/><Relationship Id="rId1307" Type="http://schemas.openxmlformats.org/officeDocument/2006/relationships/hyperlink" Target="http://ver.abc.es/2amiz6" TargetMode="External"/><Relationship Id="rId1514" Type="http://schemas.openxmlformats.org/officeDocument/2006/relationships/hyperlink" Target="https://curiouscat.me/evunsky_03" TargetMode="External"/><Relationship Id="rId1721" Type="http://schemas.openxmlformats.org/officeDocument/2006/relationships/hyperlink" Target="https://www.jessvondaly.blogspot.com/" TargetMode="External"/><Relationship Id="rId1959" Type="http://schemas.openxmlformats.org/officeDocument/2006/relationships/hyperlink" Target="http://www.bitmomentum.com/" TargetMode="External"/><Relationship Id="rId13" Type="http://schemas.openxmlformats.org/officeDocument/2006/relationships/hyperlink" Target="https://www.ideal.es/granada/defraudaran-20181208234128-nt.html" TargetMode="External"/><Relationship Id="rId1819" Type="http://schemas.openxmlformats.org/officeDocument/2006/relationships/hyperlink" Target="https://youtu.be/nYzuCr7FnyI" TargetMode="External"/><Relationship Id="rId2190" Type="http://schemas.openxmlformats.org/officeDocument/2006/relationships/hyperlink" Target="https://www.formulatv.com/noticias/el-programa-de-ana-rosa-lider-vox-primera-entrevista-ana-rosa-quintana-86683/" TargetMode="External"/><Relationship Id="rId2288" Type="http://schemas.openxmlformats.org/officeDocument/2006/relationships/hyperlink" Target="https://kubakokodrila.blogspot.com.es/" TargetMode="External"/><Relationship Id="rId162" Type="http://schemas.openxmlformats.org/officeDocument/2006/relationships/hyperlink" Target="https://www.facebook.com/indaok/" TargetMode="External"/><Relationship Id="rId467" Type="http://schemas.openxmlformats.org/officeDocument/2006/relationships/hyperlink" Target="https://twitter.com/alto_policia/status/1071039490607722496" TargetMode="External"/><Relationship Id="rId1097" Type="http://schemas.openxmlformats.org/officeDocument/2006/relationships/hyperlink" Target="https://pbs.twimg.com/media/DtplhYIW0AAgIgO.jpg" TargetMode="External"/><Relationship Id="rId2050" Type="http://schemas.openxmlformats.org/officeDocument/2006/relationships/hyperlink" Target="https://m.diariodecadiz.es/cadiz/Graves-incidentes-Cadiz-manifestacion-electorales_0_1306369863.amp.html" TargetMode="External"/><Relationship Id="rId2148" Type="http://schemas.openxmlformats.org/officeDocument/2006/relationships/hyperlink" Target="https://www.twitter.com/ferkabra" TargetMode="External"/><Relationship Id="rId674" Type="http://schemas.openxmlformats.org/officeDocument/2006/relationships/hyperlink" Target="https://pbs.twimg.com/media/DtxQDzIWoAA6Xzh.jpg" TargetMode="External"/><Relationship Id="rId881" Type="http://schemas.openxmlformats.org/officeDocument/2006/relationships/hyperlink" Target="http://es.favstar.fm/users/AFRKN_" TargetMode="External"/><Relationship Id="rId979" Type="http://schemas.openxmlformats.org/officeDocument/2006/relationships/hyperlink" Target="https://twitter.com/hermanntertsch/status/1070625337036455938" TargetMode="External"/><Relationship Id="rId2355" Type="http://schemas.openxmlformats.org/officeDocument/2006/relationships/hyperlink" Target="http://edcordoba.info/picti1" TargetMode="External"/><Relationship Id="rId327" Type="http://schemas.openxmlformats.org/officeDocument/2006/relationships/hyperlink" Target="http://www.periodistadigital.com/politica/partidos-politicos/2018/12/06/el-ultra-de-extrema-izquierda-echenique-compara-a-abascal-son-torrente-y-las-redes-lo-fulminan.shtml" TargetMode="External"/><Relationship Id="rId534" Type="http://schemas.openxmlformats.org/officeDocument/2006/relationships/hyperlink" Target="http://www.ubedaenlared.com/" TargetMode="External"/><Relationship Id="rId741" Type="http://schemas.openxmlformats.org/officeDocument/2006/relationships/hyperlink" Target="https://pbs.twimg.com/media/DtqX3dDX4AEhOEy.jpg" TargetMode="External"/><Relationship Id="rId839" Type="http://schemas.openxmlformats.org/officeDocument/2006/relationships/hyperlink" Target="https://twitter.com/hermanntertsch/status/1070625337036455938" TargetMode="External"/><Relationship Id="rId1164" Type="http://schemas.openxmlformats.org/officeDocument/2006/relationships/hyperlink" Target="https://www.abc.es/espana/abci-echenique-critica-abascal-lleve-pistola-y-sorprende-decirle-tambien-llevaba-anguita-201812051602_noticia.html" TargetMode="External"/><Relationship Id="rId1371" Type="http://schemas.openxmlformats.org/officeDocument/2006/relationships/hyperlink" Target="https://twitter.com/voxnoticias_es/status/1070256337148350464" TargetMode="External"/><Relationship Id="rId1469" Type="http://schemas.openxmlformats.org/officeDocument/2006/relationships/hyperlink" Target="http://maxjovengay.blogspot.com.es/" TargetMode="External"/><Relationship Id="rId2008" Type="http://schemas.openxmlformats.org/officeDocument/2006/relationships/hyperlink" Target="https://twitter.com/penolopeenmadri/status/1070067565387501568" TargetMode="External"/><Relationship Id="rId2215" Type="http://schemas.openxmlformats.org/officeDocument/2006/relationships/hyperlink" Target="https://pbs.twimg.com/media/Dtl8_5aWsAEeT_B.jpg" TargetMode="External"/><Relationship Id="rId601" Type="http://schemas.openxmlformats.org/officeDocument/2006/relationships/hyperlink" Target="https://pbs.twimg.com/media/DtzN8lNW4AEw3vo.jpg" TargetMode="External"/><Relationship Id="rId1024" Type="http://schemas.openxmlformats.org/officeDocument/2006/relationships/hyperlink" Target="https://twitter.com/mugiwarasens/status/1070056571089154048" TargetMode="External"/><Relationship Id="rId1231" Type="http://schemas.openxmlformats.org/officeDocument/2006/relationships/hyperlink" Target="https://pbs.twimg.com/media/DtrpqtKWwAA1owH.jpg" TargetMode="External"/><Relationship Id="rId1676" Type="http://schemas.openxmlformats.org/officeDocument/2006/relationships/hyperlink" Target="https://www.libertaddigital.com/espana/2018-12-05/valls-dice-a-cs-que-no-puede-haber-ningun-pacto-con-vox-1276629397/" TargetMode="External"/><Relationship Id="rId1883" Type="http://schemas.openxmlformats.org/officeDocument/2006/relationships/hyperlink" Target="https://pbs.twimg.com/media/Dto7F0XW4AE9YXq.jpg" TargetMode="External"/><Relationship Id="rId906" Type="http://schemas.openxmlformats.org/officeDocument/2006/relationships/hyperlink" Target="https://pbs.twimg.com/media/DtvBX1bWkAAJpp3.jpg" TargetMode="External"/><Relationship Id="rId1329" Type="http://schemas.openxmlformats.org/officeDocument/2006/relationships/hyperlink" Target="http://www.voxespana.es/" TargetMode="External"/><Relationship Id="rId1536" Type="http://schemas.openxmlformats.org/officeDocument/2006/relationships/hyperlink" Target="http://pic.twitter.com/GMUYTShGPP" TargetMode="External"/><Relationship Id="rId1743" Type="http://schemas.openxmlformats.org/officeDocument/2006/relationships/hyperlink" Target="https://pbs.twimg.com/media/DtpUstUWwAAj8AD.jpg" TargetMode="External"/><Relationship Id="rId1950" Type="http://schemas.openxmlformats.org/officeDocument/2006/relationships/hyperlink" Target="https://twitter.com/anarosaq/status/1070034841066983427" TargetMode="External"/><Relationship Id="rId35" Type="http://schemas.openxmlformats.org/officeDocument/2006/relationships/hyperlink" Target="https://pbs.twimg.com/media/Dt5tQzZWoAEoo_w.jpg" TargetMode="External"/><Relationship Id="rId1603" Type="http://schemas.openxmlformats.org/officeDocument/2006/relationships/hyperlink" Target="https://pbs.twimg.com/media/Dtp7G8JXQAE6WgT.jpg" TargetMode="External"/><Relationship Id="rId1810" Type="http://schemas.openxmlformats.org/officeDocument/2006/relationships/hyperlink" Target="https://pbs.twimg.com/media/DtpGpCfW0AA0IEm.jpg" TargetMode="External"/><Relationship Id="rId184" Type="http://schemas.openxmlformats.org/officeDocument/2006/relationships/hyperlink" Target="https://okdiario.com/espana/2018/12/07/sistema-afiliacion-vox-colapsa-exito-andalucia-supera-20-500-afiliados-3440724" TargetMode="External"/><Relationship Id="rId391" Type="http://schemas.openxmlformats.org/officeDocument/2006/relationships/hyperlink" Target="http://ww.cope.es/t607i2" TargetMode="External"/><Relationship Id="rId1908" Type="http://schemas.openxmlformats.org/officeDocument/2006/relationships/hyperlink" Target="http://pic.twitter.com/y3p83EOAf2" TargetMode="External"/><Relationship Id="rId2072" Type="http://schemas.openxmlformats.org/officeDocument/2006/relationships/hyperlink" Target="http://miguelangelsanchezvargas.blogspot.com.es/" TargetMode="External"/><Relationship Id="rId251" Type="http://schemas.openxmlformats.org/officeDocument/2006/relationships/hyperlink" Target="https://twitter.com/ahorapodemos/status/1071107478820188160" TargetMode="External"/><Relationship Id="rId489" Type="http://schemas.openxmlformats.org/officeDocument/2006/relationships/hyperlink" Target="http://okdiario.com/" TargetMode="External"/><Relationship Id="rId696" Type="http://schemas.openxmlformats.org/officeDocument/2006/relationships/hyperlink" Target="https://youtu.be/RaSIX4-RPAI" TargetMode="External"/><Relationship Id="rId2377" Type="http://schemas.openxmlformats.org/officeDocument/2006/relationships/hyperlink" Target="http://puedoentrar.blogspot.com/" TargetMode="External"/><Relationship Id="rId349" Type="http://schemas.openxmlformats.org/officeDocument/2006/relationships/hyperlink" Target="https://mailchi.mp/e831ff79b9e8/plataformaaida" TargetMode="External"/><Relationship Id="rId556" Type="http://schemas.openxmlformats.org/officeDocument/2006/relationships/hyperlink" Target="https://pbs.twimg.com/media/DtzlgEHW4AEkjBo.jpg" TargetMode="External"/><Relationship Id="rId763" Type="http://schemas.openxmlformats.org/officeDocument/2006/relationships/hyperlink" Target="http://pic.twitter.com/kORW9EPm2X" TargetMode="External"/><Relationship Id="rId1186" Type="http://schemas.openxmlformats.org/officeDocument/2006/relationships/hyperlink" Target="http://ww.cope.es/uua521" TargetMode="External"/><Relationship Id="rId1393" Type="http://schemas.openxmlformats.org/officeDocument/2006/relationships/hyperlink" Target="http://www.malagaimpecable.com/" TargetMode="External"/><Relationship Id="rId2237" Type="http://schemas.openxmlformats.org/officeDocument/2006/relationships/hyperlink" Target="http://www.bitmomentum.com/" TargetMode="External"/><Relationship Id="rId111" Type="http://schemas.openxmlformats.org/officeDocument/2006/relationships/hyperlink" Target="http://esteban.re/" TargetMode="External"/><Relationship Id="rId209" Type="http://schemas.openxmlformats.org/officeDocument/2006/relationships/hyperlink" Target="https://pbs.twimg.com/media/Dt2vdMJW4AIb-u0.jpg" TargetMode="External"/><Relationship Id="rId416" Type="http://schemas.openxmlformats.org/officeDocument/2006/relationships/hyperlink" Target="https://pbs.twimg.com/media/Dt0wWfjW0AAUjS6.jpg" TargetMode="External"/><Relationship Id="rId970" Type="http://schemas.openxmlformats.org/officeDocument/2006/relationships/hyperlink" Target="https://pbs.twimg.com/media/DtukrFZXQAE6f8O.jpg" TargetMode="External"/><Relationship Id="rId1046" Type="http://schemas.openxmlformats.org/officeDocument/2006/relationships/hyperlink" Target="https://www.youtube.com/watch?v=KKcf5UC8U1E" TargetMode="External"/><Relationship Id="rId1253" Type="http://schemas.openxmlformats.org/officeDocument/2006/relationships/hyperlink" Target="https://twitter.com/franio_/status/1070395623726333952" TargetMode="External"/><Relationship Id="rId1698" Type="http://schemas.openxmlformats.org/officeDocument/2006/relationships/hyperlink" Target="http://pic.twitter.com/s9iH0hZNgk" TargetMode="External"/><Relationship Id="rId623" Type="http://schemas.openxmlformats.org/officeDocument/2006/relationships/hyperlink" Target="https://pbs.twimg.com/media/DtzAAHIWoAAdIqv.jpg" TargetMode="External"/><Relationship Id="rId830" Type="http://schemas.openxmlformats.org/officeDocument/2006/relationships/hyperlink" Target="http://www.formulatv.com/" TargetMode="External"/><Relationship Id="rId928" Type="http://schemas.openxmlformats.org/officeDocument/2006/relationships/hyperlink" Target="https://www.facebook.com/groups/1523383624657240/?fref=nf" TargetMode="External"/><Relationship Id="rId1460" Type="http://schemas.openxmlformats.org/officeDocument/2006/relationships/hyperlink" Target="https://pbs.twimg.com/media/DtqjBukXcAIhh7I.jpg" TargetMode="External"/><Relationship Id="rId1558" Type="http://schemas.openxmlformats.org/officeDocument/2006/relationships/hyperlink" Target="http://pic.twitter.com/b824kRI4Sm" TargetMode="External"/><Relationship Id="rId1765" Type="http://schemas.openxmlformats.org/officeDocument/2006/relationships/hyperlink" Target="https://pbs.twimg.com/media/DtpReliXQAAc3RH.jpg" TargetMode="External"/><Relationship Id="rId2304" Type="http://schemas.openxmlformats.org/officeDocument/2006/relationships/hyperlink" Target="https://diariodelosjereles.com/2018/12/04/bandolero-amenaza-con-matar-a-santiago-abascal-si-trata-de-cerrar-canal-sur/" TargetMode="External"/><Relationship Id="rId57" Type="http://schemas.openxmlformats.org/officeDocument/2006/relationships/hyperlink" Target="https://www.youtube.com/watch?time_continue=69&amp;v=wQUSbzSeDWw" TargetMode="External"/><Relationship Id="rId1113" Type="http://schemas.openxmlformats.org/officeDocument/2006/relationships/hyperlink" Target="http://www.bitmomentum.com/" TargetMode="External"/><Relationship Id="rId1320" Type="http://schemas.openxmlformats.org/officeDocument/2006/relationships/hyperlink" Target="https://www.elconfidencial.com/espana/2018-12-05/simbolo-republicano-podemos-reyes-constitucion_1688734/?utm_source=twitter&amp;utm_medium=social&amp;utm_campaign=BotoneraWeb" TargetMode="External"/><Relationship Id="rId1418" Type="http://schemas.openxmlformats.org/officeDocument/2006/relationships/hyperlink" Target="http://www.bitmomentum.com/" TargetMode="External"/><Relationship Id="rId1972" Type="http://schemas.openxmlformats.org/officeDocument/2006/relationships/hyperlink" Target="https://pbs.twimg.com/media/Dtn0NGTV4AIk-N8.jpg" TargetMode="External"/><Relationship Id="rId1625" Type="http://schemas.openxmlformats.org/officeDocument/2006/relationships/hyperlink" Target="https://pbs.twimg.com/media/Dtp2YS8W0AApnHX.jpg" TargetMode="External"/><Relationship Id="rId1832" Type="http://schemas.openxmlformats.org/officeDocument/2006/relationships/hyperlink" Target="http://www.youtube.com/watch?v=Mm3ypbAbLJ8" TargetMode="External"/><Relationship Id="rId2094" Type="http://schemas.openxmlformats.org/officeDocument/2006/relationships/hyperlink" Target="https://www.telecinco.es/informativos/nacional/Pedro-Sanchez-PSOE-Informativos-Telecinco-Andalucia-Susana-Diaz_2_2669655190.html" TargetMode="External"/><Relationship Id="rId273" Type="http://schemas.openxmlformats.org/officeDocument/2006/relationships/hyperlink" Target="https://youtu.be/nXGkBbWwVlE" TargetMode="External"/><Relationship Id="rId480" Type="http://schemas.openxmlformats.org/officeDocument/2006/relationships/hyperlink" Target="https://okdiario.com/espana/2018/12/07/iglesias-da-razon-abascal-derecho-portar-armas-bases-democracia-3438627" TargetMode="External"/><Relationship Id="rId2161" Type="http://schemas.openxmlformats.org/officeDocument/2006/relationships/hyperlink" Target="https://twitter.com/yolandacmorin/status/1070041519766286336" TargetMode="External"/><Relationship Id="rId2399" Type="http://schemas.openxmlformats.org/officeDocument/2006/relationships/hyperlink" Target="https://pbs.twimg.com/media/Dtk_zHEW0AA5Vpl.jpg" TargetMode="External"/><Relationship Id="rId133" Type="http://schemas.openxmlformats.org/officeDocument/2006/relationships/hyperlink" Target="http://www.bitmomentum.com/" TargetMode="External"/><Relationship Id="rId340" Type="http://schemas.openxmlformats.org/officeDocument/2006/relationships/hyperlink" Target="https://twitter.com/bcnisnotcat_/status/1070801745968852992" TargetMode="External"/><Relationship Id="rId578" Type="http://schemas.openxmlformats.org/officeDocument/2006/relationships/hyperlink" Target="https://www.lavanguardia.com/local/valencia/20181206/453373305962/redes-sociales-ultraderecha-manipulacion-fake-news-vox-brexit-donald-trump.html" TargetMode="External"/><Relationship Id="rId785" Type="http://schemas.openxmlformats.org/officeDocument/2006/relationships/hyperlink" Target="https://www.huffingtonpost.es/2018/12/03/santi-abascal-en-estado-puro-sus-peores-frases_a_23606746/?ncid=other_twitter_cooo9wqtham&amp;utm_campaign=share_twitter" TargetMode="External"/><Relationship Id="rId992" Type="http://schemas.openxmlformats.org/officeDocument/2006/relationships/hyperlink" Target="http://locarconio.com/" TargetMode="External"/><Relationship Id="rId2021" Type="http://schemas.openxmlformats.org/officeDocument/2006/relationships/hyperlink" Target="https://twitter.com/NinaQueral/status/1070069845536985088" TargetMode="External"/><Relationship Id="rId2259" Type="http://schemas.openxmlformats.org/officeDocument/2006/relationships/hyperlink" Target="https://www.huffingtonpost.es/2018/12/03/santi-abascal-en-estado-puro-sus-peores-frases_a_23606746/?ncid=other_twitter_cooo9wqtham&amp;utm_campaign=share_twitter" TargetMode="External"/><Relationship Id="rId200" Type="http://schemas.openxmlformats.org/officeDocument/2006/relationships/hyperlink" Target="https://pbs.twimg.com/media/Dt26iFEX4AAjSod.jpg" TargetMode="External"/><Relationship Id="rId438" Type="http://schemas.openxmlformats.org/officeDocument/2006/relationships/hyperlink" Target="https://mailchi.mp/e831ff79b9e8/plataformaaida" TargetMode="External"/><Relationship Id="rId645" Type="http://schemas.openxmlformats.org/officeDocument/2006/relationships/hyperlink" Target="https://pbs.twimg.com/media/Dtp7hGmW0AACW4H.jpg" TargetMode="External"/><Relationship Id="rId852" Type="http://schemas.openxmlformats.org/officeDocument/2006/relationships/hyperlink" Target="https://www.facebook.com/enrique.seoane.71" TargetMode="External"/><Relationship Id="rId1068" Type="http://schemas.openxmlformats.org/officeDocument/2006/relationships/hyperlink" Target="https://pbs.twimg.com/media/Dttuk3wWwAExt8p.jpg" TargetMode="External"/><Relationship Id="rId1275" Type="http://schemas.openxmlformats.org/officeDocument/2006/relationships/hyperlink" Target="http://pic.twitter.com/GSXciE7LVd" TargetMode="External"/><Relationship Id="rId1482" Type="http://schemas.openxmlformats.org/officeDocument/2006/relationships/hyperlink" Target="http://pic.twitter.com/w77LhrjnbM" TargetMode="External"/><Relationship Id="rId2119" Type="http://schemas.openxmlformats.org/officeDocument/2006/relationships/hyperlink" Target="https://twitter.com/Jevi90249843/status/1069715166353391616" TargetMode="External"/><Relationship Id="rId2326" Type="http://schemas.openxmlformats.org/officeDocument/2006/relationships/hyperlink" Target="http://pic.twitter.com/4luwNOpE9p" TargetMode="External"/><Relationship Id="rId505" Type="http://schemas.openxmlformats.org/officeDocument/2006/relationships/hyperlink" Target="https://pbs.twimg.com/media/Dtzv4CuXcAA5HMu.jpg" TargetMode="External"/><Relationship Id="rId712" Type="http://schemas.openxmlformats.org/officeDocument/2006/relationships/hyperlink" Target="https://pbs.twimg.com/media/Dtw_d7JW4AAeyTa.jpg" TargetMode="External"/><Relationship Id="rId1135" Type="http://schemas.openxmlformats.org/officeDocument/2006/relationships/hyperlink" Target="https://pbs.twimg.com/media/DtsXeGdXcAAjYbs.jpg" TargetMode="External"/><Relationship Id="rId1342" Type="http://schemas.openxmlformats.org/officeDocument/2006/relationships/hyperlink" Target="https://twitter.com/voxnoticias_es/status/1070261258538995712?s=19" TargetMode="External"/><Relationship Id="rId1787" Type="http://schemas.openxmlformats.org/officeDocument/2006/relationships/hyperlink" Target="https://twitter.com/CristinaSegui_/status/1070046424274997248" TargetMode="External"/><Relationship Id="rId1994" Type="http://schemas.openxmlformats.org/officeDocument/2006/relationships/hyperlink" Target="http://www.bitmomentum.com/" TargetMode="External"/><Relationship Id="rId79" Type="http://schemas.openxmlformats.org/officeDocument/2006/relationships/hyperlink" Target="https://pbs.twimg.com/media/Dt5D_LEWsAIAffk.jpg" TargetMode="External"/><Relationship Id="rId1202" Type="http://schemas.openxmlformats.org/officeDocument/2006/relationships/hyperlink" Target="https://newtral.es/fact-check/santiago-abascal-las-mujeres-asesinadas-en-espana-han-sido-mayoritariamente-a-manos-de-extranjeros/" TargetMode="External"/><Relationship Id="rId1647" Type="http://schemas.openxmlformats.org/officeDocument/2006/relationships/hyperlink" Target="http://www.lasprovincias.es/" TargetMode="External"/><Relationship Id="rId1854" Type="http://schemas.openxmlformats.org/officeDocument/2006/relationships/hyperlink" Target="http://alejandrocancho.wordpress.com/" TargetMode="External"/><Relationship Id="rId1507" Type="http://schemas.openxmlformats.org/officeDocument/2006/relationships/hyperlink" Target="https://pbs.twimg.com/media/DtqZDzxV4AAXPDU.jpg" TargetMode="External"/><Relationship Id="rId1714" Type="http://schemas.openxmlformats.org/officeDocument/2006/relationships/hyperlink" Target="https://twitter.com/anarosaq/status/1070034841066983427" TargetMode="External"/><Relationship Id="rId295" Type="http://schemas.openxmlformats.org/officeDocument/2006/relationships/hyperlink" Target="https://www.facebook.com/indaok/" TargetMode="External"/><Relationship Id="rId1921" Type="http://schemas.openxmlformats.org/officeDocument/2006/relationships/hyperlink" Target="https://youtu.be/JPIlS0KdPhM" TargetMode="External"/><Relationship Id="rId2183" Type="http://schemas.openxmlformats.org/officeDocument/2006/relationships/hyperlink" Target="https://pbs.twimg.com/media/DtmKfV4W0AALE08.jpg" TargetMode="External"/><Relationship Id="rId2390" Type="http://schemas.openxmlformats.org/officeDocument/2006/relationships/hyperlink" Target="https://twitter.com/Carmen_PN/status/1069958268380987392" TargetMode="External"/><Relationship Id="rId155" Type="http://schemas.openxmlformats.org/officeDocument/2006/relationships/hyperlink" Target="https://pbs.twimg.com/media/Dt4ScvOX4AIcEOT.jpg" TargetMode="External"/><Relationship Id="rId362" Type="http://schemas.openxmlformats.org/officeDocument/2006/relationships/hyperlink" Target="http://instagram.com/quimicodelamuerte/" TargetMode="External"/><Relationship Id="rId1297" Type="http://schemas.openxmlformats.org/officeDocument/2006/relationships/hyperlink" Target="https://pbs.twimg.com/media/DtrUmV0XgAgGSgp.jpg" TargetMode="External"/><Relationship Id="rId2043" Type="http://schemas.openxmlformats.org/officeDocument/2006/relationships/hyperlink" Target="https://youtu.be/S8_g6JS2z24" TargetMode="External"/><Relationship Id="rId2250" Type="http://schemas.openxmlformats.org/officeDocument/2006/relationships/hyperlink" Target="https://www.youtube.com/watch?v=UuS1qAi4SNw&amp;list=PLWj3rMTCrVm8SHNfI5HDeyVaNrzf0e4Bc" TargetMode="External"/><Relationship Id="rId222" Type="http://schemas.openxmlformats.org/officeDocument/2006/relationships/hyperlink" Target="https://twitter.com/pita1917malaga/status/1070982559272763392" TargetMode="External"/><Relationship Id="rId667" Type="http://schemas.openxmlformats.org/officeDocument/2006/relationships/hyperlink" Target="https://youtu.be/IZDYhQ4UAnA" TargetMode="External"/><Relationship Id="rId874" Type="http://schemas.openxmlformats.org/officeDocument/2006/relationships/hyperlink" Target="https://pbs.twimg.com/media/DtvWGauU0AAxECY.jpg" TargetMode="External"/><Relationship Id="rId2110" Type="http://schemas.openxmlformats.org/officeDocument/2006/relationships/hyperlink" Target="http://www.bitmomentum.com/" TargetMode="External"/><Relationship Id="rId2348" Type="http://schemas.openxmlformats.org/officeDocument/2006/relationships/hyperlink" Target="http://pic.twitter.com/JMaFazTvPi" TargetMode="External"/><Relationship Id="rId527" Type="http://schemas.openxmlformats.org/officeDocument/2006/relationships/hyperlink" Target="https://eldebate.es/politica-de-estado/las-4-menciones-a-espana-que-podemos-borro-del-discurso-de-pablo-iglesias-tras-el-2-d-20181207" TargetMode="External"/><Relationship Id="rId734" Type="http://schemas.openxmlformats.org/officeDocument/2006/relationships/hyperlink" Target="https://pbs.twimg.com/media/DtwueHJW4AAV7hl.jpg" TargetMode="External"/><Relationship Id="rId941" Type="http://schemas.openxmlformats.org/officeDocument/2006/relationships/hyperlink" Target="https://pbs.twimg.com/media/DtuxhbCWsAA8j-Q.jpg" TargetMode="External"/><Relationship Id="rId1157" Type="http://schemas.openxmlformats.org/officeDocument/2006/relationships/hyperlink" Target="http://www.ivannoval.es/" TargetMode="External"/><Relationship Id="rId1364" Type="http://schemas.openxmlformats.org/officeDocument/2006/relationships/hyperlink" Target="http://www.bitmomentum.com/" TargetMode="External"/><Relationship Id="rId1571" Type="http://schemas.openxmlformats.org/officeDocument/2006/relationships/hyperlink" Target="https://digitalsevilla.com/2018/12/05/ana-rosa-al-lider-de-vox-va-al-gimnasio-hace-pesas-le-he-visto-en-fotos/" TargetMode="External"/><Relationship Id="rId2208" Type="http://schemas.openxmlformats.org/officeDocument/2006/relationships/hyperlink" Target="https://twitter.com/MoritzBarcelona/status/1069995256417083392" TargetMode="External"/><Relationship Id="rId70" Type="http://schemas.openxmlformats.org/officeDocument/2006/relationships/hyperlink" Target="https://www.moncloa.com/etb-vox-yunque-iran-abascal/" TargetMode="External"/><Relationship Id="rId801" Type="http://schemas.openxmlformats.org/officeDocument/2006/relationships/hyperlink" Target="http://pic.twitter.com/I6sNtMichv" TargetMode="External"/><Relationship Id="rId1017" Type="http://schemas.openxmlformats.org/officeDocument/2006/relationships/hyperlink" Target="http://dresantander.tumblr.com/" TargetMode="External"/><Relationship Id="rId1224" Type="http://schemas.openxmlformats.org/officeDocument/2006/relationships/hyperlink" Target="http://www.bitmomentum.com/" TargetMode="External"/><Relationship Id="rId1431" Type="http://schemas.openxmlformats.org/officeDocument/2006/relationships/hyperlink" Target="https://www.telecinco.es/elprogramadeanarosa/santiago-abascal-entrevista_0_2670150013.html" TargetMode="External"/><Relationship Id="rId1669" Type="http://schemas.openxmlformats.org/officeDocument/2006/relationships/hyperlink" Target="http://patronesenlatormenta.blogspot.com.es/" TargetMode="External"/><Relationship Id="rId1876" Type="http://schemas.openxmlformats.org/officeDocument/2006/relationships/hyperlink" Target="http://www.antonioburgos.com/abc/2018/12/re120518.html" TargetMode="External"/><Relationship Id="rId1529" Type="http://schemas.openxmlformats.org/officeDocument/2006/relationships/hyperlink" Target="http://www.scrats.es/" TargetMode="External"/><Relationship Id="rId1736" Type="http://schemas.openxmlformats.org/officeDocument/2006/relationships/hyperlink" Target="http://bit.ly/2AQ4AcB" TargetMode="External"/><Relationship Id="rId1943" Type="http://schemas.openxmlformats.org/officeDocument/2006/relationships/hyperlink" Target="https://pbs.twimg.com/media/DtolFl-XQAEWxel.jpg" TargetMode="External"/><Relationship Id="rId28" Type="http://schemas.openxmlformats.org/officeDocument/2006/relationships/hyperlink" Target="http://lrzn.es/1am9m3" TargetMode="External"/><Relationship Id="rId1803" Type="http://schemas.openxmlformats.org/officeDocument/2006/relationships/hyperlink" Target="https://www.voxespana.es/" TargetMode="External"/><Relationship Id="rId177" Type="http://schemas.openxmlformats.org/officeDocument/2006/relationships/hyperlink" Target="https://youtu.be/nXGkBbWwVlE" TargetMode="External"/><Relationship Id="rId384" Type="http://schemas.openxmlformats.org/officeDocument/2006/relationships/hyperlink" Target="http://pic.twitter.com/Ukgy6mKFwK" TargetMode="External"/><Relationship Id="rId591" Type="http://schemas.openxmlformats.org/officeDocument/2006/relationships/hyperlink" Target="http://instagram.com/hugorc22" TargetMode="External"/><Relationship Id="rId2065" Type="http://schemas.openxmlformats.org/officeDocument/2006/relationships/hyperlink" Target="https://twitter.com/pnique/status/1069677893050093569" TargetMode="External"/><Relationship Id="rId2272" Type="http://schemas.openxmlformats.org/officeDocument/2006/relationships/hyperlink" Target="https://twitter.com/golorico/status/1069996150231568384" TargetMode="External"/><Relationship Id="rId244" Type="http://schemas.openxmlformats.org/officeDocument/2006/relationships/hyperlink" Target="https://www.periodistadigital.com/periodismo/tv/2018/12/07/nueva-burla-vox-escocidito-evole-cuesta-memorable-bano-twitter-sanguijuela-santi-abascal.shtml" TargetMode="External"/><Relationship Id="rId689" Type="http://schemas.openxmlformats.org/officeDocument/2006/relationships/hyperlink" Target="http://pic.twitter.com/I6sNtMichv" TargetMode="External"/><Relationship Id="rId896" Type="http://schemas.openxmlformats.org/officeDocument/2006/relationships/hyperlink" Target="https://www.esdiario.com/amp/453023193/El-video-de-un-jovencisimo-Santiago-Abascal-que-deberia-dar-verguenza-a-Podemos.html" TargetMode="External"/><Relationship Id="rId1081" Type="http://schemas.openxmlformats.org/officeDocument/2006/relationships/hyperlink" Target="http://pic.twitter.com/iJeFYQSwgV" TargetMode="External"/><Relationship Id="rId451" Type="http://schemas.openxmlformats.org/officeDocument/2006/relationships/hyperlink" Target="https://totbalears.com/el-sistema-de-afiliacion-de-vox-se-colapsa-tras-superar-los-20-000-afiliados/" TargetMode="External"/><Relationship Id="rId549" Type="http://schemas.openxmlformats.org/officeDocument/2006/relationships/hyperlink" Target="https://pbs.twimg.com/media/DtzsUZ1WkAArl6G.jpg" TargetMode="External"/><Relationship Id="rId756" Type="http://schemas.openxmlformats.org/officeDocument/2006/relationships/hyperlink" Target="https://twitter.com/BenemeritosGC/status/1070687451067371520" TargetMode="External"/><Relationship Id="rId1179" Type="http://schemas.openxmlformats.org/officeDocument/2006/relationships/hyperlink" Target="https://www.leganews.es/entrevista-con-santiago-abascal-lider-nacional-de-vox/" TargetMode="External"/><Relationship Id="rId1386" Type="http://schemas.openxmlformats.org/officeDocument/2006/relationships/hyperlink" Target="https://pbs.twimg.com/media/Dtq4xiDXgAQa0PY.jpg" TargetMode="External"/><Relationship Id="rId1593" Type="http://schemas.openxmlformats.org/officeDocument/2006/relationships/hyperlink" Target="http://okdiario.com/" TargetMode="External"/><Relationship Id="rId2132" Type="http://schemas.openxmlformats.org/officeDocument/2006/relationships/hyperlink" Target="https://pbs.twimg.com/media/DtmZPpAX4AYMmap.jpg" TargetMode="External"/><Relationship Id="rId104" Type="http://schemas.openxmlformats.org/officeDocument/2006/relationships/hyperlink" Target="https://twitter.com/frayjosepho/status/1070604952203128832" TargetMode="External"/><Relationship Id="rId311" Type="http://schemas.openxmlformats.org/officeDocument/2006/relationships/hyperlink" Target="https://pbs.twimg.com/media/Dt1ncjOW4AEQ7iI.jpg" TargetMode="External"/><Relationship Id="rId409" Type="http://schemas.openxmlformats.org/officeDocument/2006/relationships/hyperlink" Target="https://pbs.twimg.com/media/Dt0zAf8WoAEZwFc.jpg" TargetMode="External"/><Relationship Id="rId963" Type="http://schemas.openxmlformats.org/officeDocument/2006/relationships/hyperlink" Target="http://bruselense.wordpress.com/" TargetMode="External"/><Relationship Id="rId1039" Type="http://schemas.openxmlformats.org/officeDocument/2006/relationships/hyperlink" Target="https://pbs.twimg.com/media/DtrDyOGW0AA_atU.jpg" TargetMode="External"/><Relationship Id="rId1246" Type="http://schemas.openxmlformats.org/officeDocument/2006/relationships/hyperlink" Target="http://www.pinchitoandaluz.blog/" TargetMode="External"/><Relationship Id="rId1898" Type="http://schemas.openxmlformats.org/officeDocument/2006/relationships/hyperlink" Target="https://www.lasprovincias.es/elecciones/andaluzas/santiago-abascal-agresiones-mujeres-extranjeros-20181205204345-ntrc.html" TargetMode="External"/><Relationship Id="rId92" Type="http://schemas.openxmlformats.org/officeDocument/2006/relationships/hyperlink" Target="http://www.bitmomentum.com/" TargetMode="External"/><Relationship Id="rId616" Type="http://schemas.openxmlformats.org/officeDocument/2006/relationships/hyperlink" Target="https://twitter.com/daniel_portero/status/1070731813159612417" TargetMode="External"/><Relationship Id="rId823" Type="http://schemas.openxmlformats.org/officeDocument/2006/relationships/hyperlink" Target="https://pbs.twimg.com/media/Dtvxz2DW4AAoCQw.jpg" TargetMode="External"/><Relationship Id="rId1453" Type="http://schemas.openxmlformats.org/officeDocument/2006/relationships/hyperlink" Target="https://pbs.twimg.com/media/DtqlgogW4AEpTHc.jpg" TargetMode="External"/><Relationship Id="rId1660" Type="http://schemas.openxmlformats.org/officeDocument/2006/relationships/hyperlink" Target="http://about.me/JorgeCCMM" TargetMode="External"/><Relationship Id="rId1758" Type="http://schemas.openxmlformats.org/officeDocument/2006/relationships/hyperlink" Target="http://www.periodistadigital.tv/lo-que-decia-santi-abascal-justo-antes-de-dejar-el-pp-y-cuando-ni-planeaba-vox_436ba39f4.html" TargetMode="External"/><Relationship Id="rId1106" Type="http://schemas.openxmlformats.org/officeDocument/2006/relationships/hyperlink" Target="https://pbs.twimg.com/media/Dtp1TJ_W0AIvOk5.jpg" TargetMode="External"/><Relationship Id="rId1313" Type="http://schemas.openxmlformats.org/officeDocument/2006/relationships/hyperlink" Target="http://www.sur.es/autor/angel-de-los-rios-591.html" TargetMode="External"/><Relationship Id="rId1520" Type="http://schemas.openxmlformats.org/officeDocument/2006/relationships/hyperlink" Target="https://pbs.twimg.com/media/DtqXkHEW0AAWSMz.jpg" TargetMode="External"/><Relationship Id="rId1965" Type="http://schemas.openxmlformats.org/officeDocument/2006/relationships/hyperlink" Target="https://twitter.com/clubdeviernes/status/1069666199439663106" TargetMode="External"/><Relationship Id="rId1618" Type="http://schemas.openxmlformats.org/officeDocument/2006/relationships/hyperlink" Target="https://twitter.com/blogkeats/status/1070242330014351365" TargetMode="External"/><Relationship Id="rId1825" Type="http://schemas.openxmlformats.org/officeDocument/2006/relationships/hyperlink" Target="http://bit.ly/2rmw7OG" TargetMode="External"/><Relationship Id="rId199" Type="http://schemas.openxmlformats.org/officeDocument/2006/relationships/hyperlink" Target="https://youtu.be/LXZ2SqoE4xs" TargetMode="External"/><Relationship Id="rId2087" Type="http://schemas.openxmlformats.org/officeDocument/2006/relationships/hyperlink" Target="https://www.youtube.com/watch?v=h2_JKhZq5k4" TargetMode="External"/><Relationship Id="rId2294" Type="http://schemas.openxmlformats.org/officeDocument/2006/relationships/hyperlink" Target="http://pic.twitter.com/b824kRI4Sm" TargetMode="External"/><Relationship Id="rId266" Type="http://schemas.openxmlformats.org/officeDocument/2006/relationships/hyperlink" Target="https://twitter.com/ahorapodemos/status/1071107478820188160" TargetMode="External"/><Relationship Id="rId473" Type="http://schemas.openxmlformats.org/officeDocument/2006/relationships/hyperlink" Target="https://pbs.twimg.com/media/Dt0Nh0fXcAA2fFy.jpg" TargetMode="External"/><Relationship Id="rId680" Type="http://schemas.openxmlformats.org/officeDocument/2006/relationships/hyperlink" Target="https://twitter.com/vox_es/status/1070648664102748162" TargetMode="External"/><Relationship Id="rId2154" Type="http://schemas.openxmlformats.org/officeDocument/2006/relationships/hyperlink" Target="https://twitter.com/anarosaq/status/1070034841066983427" TargetMode="External"/><Relationship Id="rId2361" Type="http://schemas.openxmlformats.org/officeDocument/2006/relationships/hyperlink" Target="http://ddcadiz.info/wt3az1" TargetMode="External"/><Relationship Id="rId126" Type="http://schemas.openxmlformats.org/officeDocument/2006/relationships/hyperlink" Target="https://www.eitb.tv/es/video/360/5937/150812/vox-la-ambicion-de-santiago-abascal/" TargetMode="External"/><Relationship Id="rId333" Type="http://schemas.openxmlformats.org/officeDocument/2006/relationships/hyperlink" Target="https://www.mediterraneodigital.com/espana/mundo/increible-se-colapsa-el-sistema-de-afiliacion-de-vox-tras-la-avalancha-de-peticiones.html?fbclid=IwAR3wUEds_j7Gy0QhQ1QvdQVROtvHGXsb7gGLPW3nzJWOjs3yyYlFW1FGi4E" TargetMode="External"/><Relationship Id="rId540" Type="http://schemas.openxmlformats.org/officeDocument/2006/relationships/hyperlink" Target="http://jonjuanma.blogspot.com.es/" TargetMode="External"/><Relationship Id="rId778" Type="http://schemas.openxmlformats.org/officeDocument/2006/relationships/hyperlink" Target="https://gaceta.es/noticias/reflexion-abascal-confiscacion-banco-popular-08062017-1410/" TargetMode="External"/><Relationship Id="rId985" Type="http://schemas.openxmlformats.org/officeDocument/2006/relationships/hyperlink" Target="http://pic.twitter.com/vOKIsFJTqB" TargetMode="External"/><Relationship Id="rId1170" Type="http://schemas.openxmlformats.org/officeDocument/2006/relationships/hyperlink" Target="http://diariodeuntecnicodesonido.blogspot.com.es/" TargetMode="External"/><Relationship Id="rId2014" Type="http://schemas.openxmlformats.org/officeDocument/2006/relationships/hyperlink" Target="http://pic.twitter.com/6gxNhnyUMw" TargetMode="External"/><Relationship Id="rId2221" Type="http://schemas.openxmlformats.org/officeDocument/2006/relationships/hyperlink" Target="http://pic.twitter.com/4cqQUOvZpo" TargetMode="External"/><Relationship Id="rId638" Type="http://schemas.openxmlformats.org/officeDocument/2006/relationships/hyperlink" Target="http://www.tabarnia.es/" TargetMode="External"/><Relationship Id="rId845" Type="http://schemas.openxmlformats.org/officeDocument/2006/relationships/hyperlink" Target="https://youtu.be/86Q_Q7v0RZk" TargetMode="External"/><Relationship Id="rId1030" Type="http://schemas.openxmlformats.org/officeDocument/2006/relationships/hyperlink" Target="http://pic.twitter.com/JTO2zCp6fm" TargetMode="External"/><Relationship Id="rId1268" Type="http://schemas.openxmlformats.org/officeDocument/2006/relationships/hyperlink" Target="https://www.telecinco.es/elprogramadeanarosa/entrevista-completa-lider-vox_2_2670180051.html" TargetMode="External"/><Relationship Id="rId1475" Type="http://schemas.openxmlformats.org/officeDocument/2006/relationships/hyperlink" Target="http://page.is/larevuelo53" TargetMode="External"/><Relationship Id="rId1682" Type="http://schemas.openxmlformats.org/officeDocument/2006/relationships/hyperlink" Target="https://pbs.twimg.com/media/DtpEu4XWkAYdJnp.jpg" TargetMode="External"/><Relationship Id="rId2319" Type="http://schemas.openxmlformats.org/officeDocument/2006/relationships/hyperlink" Target="http://www.jcdiez.com/2018/12/04/elecciones-andaluzas-vox/" TargetMode="External"/><Relationship Id="rId400" Type="http://schemas.openxmlformats.org/officeDocument/2006/relationships/hyperlink" Target="https://www.libertaddigital.com/opinion/santiago-abascal/pablo-el-infierno-mismo-78791/" TargetMode="External"/><Relationship Id="rId705" Type="http://schemas.openxmlformats.org/officeDocument/2006/relationships/hyperlink" Target="http://opinionesextremas.blogspot.com/" TargetMode="External"/><Relationship Id="rId1128" Type="http://schemas.openxmlformats.org/officeDocument/2006/relationships/hyperlink" Target="https://www.facebook.com/photo.php?fbid=1135848073245308&amp;set=a.634714396692014&amp;type=3&amp;eid=ARBuDxP8bwwk6aY0WN8a3RCgO995k2O9SjVsxNsTFxrSO_arL0A2njzioAp09LCRA1IOoVcoKdl4ELvv" TargetMode="External"/><Relationship Id="rId1335" Type="http://schemas.openxmlformats.org/officeDocument/2006/relationships/hyperlink" Target="https://twitter.com/Santi_ABASCAL/status/1069949221175001089" TargetMode="External"/><Relationship Id="rId1542" Type="http://schemas.openxmlformats.org/officeDocument/2006/relationships/hyperlink" Target="https://pbs.twimg.com/media/DtqQP92XgAE6I4x.jpg" TargetMode="External"/><Relationship Id="rId1987" Type="http://schemas.openxmlformats.org/officeDocument/2006/relationships/hyperlink" Target="http://www.bitmomentum.com/" TargetMode="External"/><Relationship Id="rId912" Type="http://schemas.openxmlformats.org/officeDocument/2006/relationships/hyperlink" Target="http://pic.twitter.com/fB2D5SIIxU" TargetMode="External"/><Relationship Id="rId1847" Type="http://schemas.openxmlformats.org/officeDocument/2006/relationships/hyperlink" Target="http://p&#233;sima.la/" TargetMode="External"/><Relationship Id="rId41" Type="http://schemas.openxmlformats.org/officeDocument/2006/relationships/hyperlink" Target="https://ecoteuve.eleconomista.es/programas/noticias/9564085/12/18/Santiago-Abascal-y-Ana-Rosa-Quintana-se-enzarzan-por-la-violencia-machista-en-la-primera-entrevista-al-lider-de-Vox-.html" TargetMode="External"/><Relationship Id="rId1402" Type="http://schemas.openxmlformats.org/officeDocument/2006/relationships/hyperlink" Target="https://pbs.twimg.com/media/DtpSIPMWsAA8nMe.jpg" TargetMode="External"/><Relationship Id="rId1707" Type="http://schemas.openxmlformats.org/officeDocument/2006/relationships/hyperlink" Target="https://www.abc.es/espana/abci-santiago-abascal-sanchez-no-dura-minuto-moncloa-si-adelanta-elecciones-201812042205_noticia.html" TargetMode="External"/><Relationship Id="rId190" Type="http://schemas.openxmlformats.org/officeDocument/2006/relationships/hyperlink" Target="http://pic.twitter.com/Q0rP8VUGoV" TargetMode="External"/><Relationship Id="rId288" Type="http://schemas.openxmlformats.org/officeDocument/2006/relationships/hyperlink" Target="https://pbs.twimg.com/media/Dt1xLvbXQAABU0C.jpg" TargetMode="External"/><Relationship Id="rId1914" Type="http://schemas.openxmlformats.org/officeDocument/2006/relationships/hyperlink" Target="https://twitter.com/vox_es/status/1069685655825985537" TargetMode="External"/><Relationship Id="rId495" Type="http://schemas.openxmlformats.org/officeDocument/2006/relationships/hyperlink" Target="https://www.elespanol.com/bluper/noticias/irresponsabilidad-ana-rosa-telecinco-humanizando-santiago-abascal-ultraderecha" TargetMode="External"/><Relationship Id="rId2176" Type="http://schemas.openxmlformats.org/officeDocument/2006/relationships/hyperlink" Target="https://m.eldiario.es/rastreador/Klux-Klan-Vox-Reconquista-Andalucia_6_842775724.html" TargetMode="External"/><Relationship Id="rId2383" Type="http://schemas.openxmlformats.org/officeDocument/2006/relationships/hyperlink" Target="https://okdiario.com/videos/2018/12/04/abascal-torra-debe-ser-detenido-ya-conspiracion-contra-espana-constitucion-3423847" TargetMode="External"/><Relationship Id="rId148" Type="http://schemas.openxmlformats.org/officeDocument/2006/relationships/hyperlink" Target="https://m.publico.es/economia/2071704/la-corrupcion-hace-que-espana-pierda-mas-90000-millones-al-ano" TargetMode="External"/><Relationship Id="rId355" Type="http://schemas.openxmlformats.org/officeDocument/2006/relationships/hyperlink" Target="https://twitter.com/PoliciaSXXI/status/1071072680718331909" TargetMode="External"/><Relationship Id="rId562" Type="http://schemas.openxmlformats.org/officeDocument/2006/relationships/hyperlink" Target="https://youtu.be/EdpZF3nLMF8" TargetMode="External"/><Relationship Id="rId1192" Type="http://schemas.openxmlformats.org/officeDocument/2006/relationships/hyperlink" Target="https://youtu.be/Nr8xaEfA7PE" TargetMode="External"/><Relationship Id="rId2036" Type="http://schemas.openxmlformats.org/officeDocument/2006/relationships/hyperlink" Target="https://twitter.com/marubimo/status/1069977264924884992" TargetMode="External"/><Relationship Id="rId2243" Type="http://schemas.openxmlformats.org/officeDocument/2006/relationships/hyperlink" Target="https://pbs.twimg.com/media/DtlxpbuXgAEIecd.jpg" TargetMode="External"/><Relationship Id="rId215" Type="http://schemas.openxmlformats.org/officeDocument/2006/relationships/hyperlink" Target="https://pbs.twimg.com/media/Dt2qif9X4AA0BPW.jpg" TargetMode="External"/><Relationship Id="rId422" Type="http://schemas.openxmlformats.org/officeDocument/2006/relationships/hyperlink" Target="https://www.libertaddigital.com/espana/2018-12-07/mitin-contra-vox-de-celaa-desde-moncloa-da-instrucciones-a-pp-y-cs-para-que-no-pacten-con-ellos-1276629533/" TargetMode="External"/><Relationship Id="rId867" Type="http://schemas.openxmlformats.org/officeDocument/2006/relationships/hyperlink" Target="https://gab.com/PalomaLibre" TargetMode="External"/><Relationship Id="rId1052" Type="http://schemas.openxmlformats.org/officeDocument/2006/relationships/hyperlink" Target="https://www.elmundo.es/pais-vasco/2018/12/06/5c083b62fc6c834c318b4782.html" TargetMode="External"/><Relationship Id="rId1497" Type="http://schemas.openxmlformats.org/officeDocument/2006/relationships/hyperlink" Target="https://www.voxespana.es/afiliarse-a-vox" TargetMode="External"/><Relationship Id="rId2103" Type="http://schemas.openxmlformats.org/officeDocument/2006/relationships/hyperlink" Target="http://mialmadesnudaip.blogspot.com/2018/07/sonamos.html?m=1" TargetMode="External"/><Relationship Id="rId2310" Type="http://schemas.openxmlformats.org/officeDocument/2006/relationships/hyperlink" Target="https://twitter.com/ra_la_me/status/1069913738239754240" TargetMode="External"/><Relationship Id="rId727" Type="http://schemas.openxmlformats.org/officeDocument/2006/relationships/hyperlink" Target="https://pbs.twimg.com/media/Dtw0YGXWkAAc9TN.jpg" TargetMode="External"/><Relationship Id="rId934" Type="http://schemas.openxmlformats.org/officeDocument/2006/relationships/hyperlink" Target="https://pbs.twimg.com/media/Dtu0yIeWoAEoBQA.jpg" TargetMode="External"/><Relationship Id="rId1357" Type="http://schemas.openxmlformats.org/officeDocument/2006/relationships/hyperlink" Target="http://pic.twitter.com/pPHYwcoJOh" TargetMode="External"/><Relationship Id="rId1564" Type="http://schemas.openxmlformats.org/officeDocument/2006/relationships/hyperlink" Target="https://www.libertaddigital.com/opinion/santiago-abascal/pablo-el-infierno-mismo-78791/" TargetMode="External"/><Relationship Id="rId1771" Type="http://schemas.openxmlformats.org/officeDocument/2006/relationships/hyperlink" Target="https://casoaislado.com/las-elecciones-andaluzas-catapultan-vox-nivel-nacional-lograria-casi-30-escanos-plantaria-cara-al-resto-partidos/" TargetMode="External"/><Relationship Id="rId63" Type="http://schemas.openxmlformats.org/officeDocument/2006/relationships/hyperlink" Target="http://espa&#241;a.es/" TargetMode="External"/><Relationship Id="rId1217" Type="http://schemas.openxmlformats.org/officeDocument/2006/relationships/hyperlink" Target="https://pbs.twimg.com/media/Dtqv_q5WwAYytsr.jpg" TargetMode="External"/><Relationship Id="rId1424" Type="http://schemas.openxmlformats.org/officeDocument/2006/relationships/hyperlink" Target="https://www.telecinco.es/elprogramadeanarosa/entrevista-completa-lider-vox_2_2670180051.html" TargetMode="External"/><Relationship Id="rId1631" Type="http://schemas.openxmlformats.org/officeDocument/2006/relationships/hyperlink" Target="http://www.mariajosecanel.com/" TargetMode="External"/><Relationship Id="rId1869" Type="http://schemas.openxmlformats.org/officeDocument/2006/relationships/hyperlink" Target="https://www.diaribalear.es/no-te-rias-que-es-peor-pide-a-varios-manifestantes-que-expliquen-la-razon-para-llamar-a-vox-ultraderecha-y-se-les-cortocircuita-el-cerebro/" TargetMode="External"/><Relationship Id="rId1729" Type="http://schemas.openxmlformats.org/officeDocument/2006/relationships/hyperlink" Target="http://www.mediterraneodigital.com/" TargetMode="External"/><Relationship Id="rId1936" Type="http://schemas.openxmlformats.org/officeDocument/2006/relationships/hyperlink" Target="http://www.bitmomentum.com/" TargetMode="External"/><Relationship Id="rId2198" Type="http://schemas.openxmlformats.org/officeDocument/2006/relationships/hyperlink" Target="http://www.bitmomentum.com/" TargetMode="External"/><Relationship Id="rId377" Type="http://schemas.openxmlformats.org/officeDocument/2006/relationships/hyperlink" Target="https://twitter.com/TR88trader/status/1070806296075624448" TargetMode="External"/><Relationship Id="rId584" Type="http://schemas.openxmlformats.org/officeDocument/2006/relationships/hyperlink" Target="http://amutis.blogspot.com/" TargetMode="External"/><Relationship Id="rId2058" Type="http://schemas.openxmlformats.org/officeDocument/2006/relationships/hyperlink" Target="https://instagram.com/angel_esojo/" TargetMode="External"/><Relationship Id="rId2265" Type="http://schemas.openxmlformats.org/officeDocument/2006/relationships/hyperlink" Target="https://pbs.twimg.com/media/Dtlpuy2W0AAvyiU.jpg" TargetMode="External"/><Relationship Id="rId5" Type="http://schemas.openxmlformats.org/officeDocument/2006/relationships/hyperlink" Target="https://twitter.com/jorges4000/status/1071438493216317440" TargetMode="External"/><Relationship Id="rId237" Type="http://schemas.openxmlformats.org/officeDocument/2006/relationships/hyperlink" Target="https://pbs.twimg.com/media/DtwySN0WsAEXWz6.jpg" TargetMode="External"/><Relationship Id="rId791" Type="http://schemas.openxmlformats.org/officeDocument/2006/relationships/hyperlink" Target="https://twitter.com/mugiwarasens/status/1070056571089154048" TargetMode="External"/><Relationship Id="rId889" Type="http://schemas.openxmlformats.org/officeDocument/2006/relationships/hyperlink" Target="http://pic.twitter.com/uWMQfLTfbV" TargetMode="External"/><Relationship Id="rId1074" Type="http://schemas.openxmlformats.org/officeDocument/2006/relationships/hyperlink" Target="https://twitter.com/rosadiezglez/status/1070399928818679808" TargetMode="External"/><Relationship Id="rId444" Type="http://schemas.openxmlformats.org/officeDocument/2006/relationships/hyperlink" Target="https://www.periodistadigital.com/periodismo/tv/2018/12/07/nueva-burla-vox-escocidito-evole-cuesta-memorable-bano-twitter-sanguijuela-santi-abascal.shtml" TargetMode="External"/><Relationship Id="rId651" Type="http://schemas.openxmlformats.org/officeDocument/2006/relationships/hyperlink" Target="https://pbs.twimg.com/media/DtxhmaiWoAATUUf.jpg" TargetMode="External"/><Relationship Id="rId749" Type="http://schemas.openxmlformats.org/officeDocument/2006/relationships/hyperlink" Target="http://pic.twitter.com/tFNufABSR8" TargetMode="External"/><Relationship Id="rId1281" Type="http://schemas.openxmlformats.org/officeDocument/2006/relationships/hyperlink" Target="http://www.mediterraneodigital.com/" TargetMode="External"/><Relationship Id="rId1379" Type="http://schemas.openxmlformats.org/officeDocument/2006/relationships/hyperlink" Target="http://www.elplural.com/" TargetMode="External"/><Relationship Id="rId1586" Type="http://schemas.openxmlformats.org/officeDocument/2006/relationships/hyperlink" Target="https://www.last.fm/user/macias_prrats" TargetMode="External"/><Relationship Id="rId2125" Type="http://schemas.openxmlformats.org/officeDocument/2006/relationships/hyperlink" Target="https://pbs.twimg.com/media/DtmcLozXQAAbNZw.jpg" TargetMode="External"/><Relationship Id="rId2332" Type="http://schemas.openxmlformats.org/officeDocument/2006/relationships/hyperlink" Target="https://pbs.twimg.com/media/DtlL2QVW4AA6-Dc.jpg" TargetMode="External"/><Relationship Id="rId304" Type="http://schemas.openxmlformats.org/officeDocument/2006/relationships/hyperlink" Target="http://albertosanzblanco.wordpress.com/" TargetMode="External"/><Relationship Id="rId511" Type="http://schemas.openxmlformats.org/officeDocument/2006/relationships/hyperlink" Target="http://pic.twitter.com/QyVJOTcBtM" TargetMode="External"/><Relationship Id="rId609" Type="http://schemas.openxmlformats.org/officeDocument/2006/relationships/hyperlink" Target="https://twitter.com/danierdecai35/status/1070800695945760768" TargetMode="External"/><Relationship Id="rId956" Type="http://schemas.openxmlformats.org/officeDocument/2006/relationships/hyperlink" Target="https://youtu.be/nYzuCr7FnyI" TargetMode="External"/><Relationship Id="rId1141" Type="http://schemas.openxmlformats.org/officeDocument/2006/relationships/hyperlink" Target="https://pbs.twimg.com/media/DtpFjR-W0AA8ANH.jpg" TargetMode="External"/><Relationship Id="rId1239" Type="http://schemas.openxmlformats.org/officeDocument/2006/relationships/hyperlink" Target="http://www.tendidodesol.com/post/4546/el-editorial-de-antonio-jose-candel-en-esradio" TargetMode="External"/><Relationship Id="rId1793" Type="http://schemas.openxmlformats.org/officeDocument/2006/relationships/hyperlink" Target="https://www.elconfidencial.com/elecciones-andalucia/2018-12-04/santiago-abascal-canal-sur-vox_1685166/" TargetMode="External"/><Relationship Id="rId85" Type="http://schemas.openxmlformats.org/officeDocument/2006/relationships/hyperlink" Target="http://rebuznometro.blogspot.com/" TargetMode="External"/><Relationship Id="rId816" Type="http://schemas.openxmlformats.org/officeDocument/2006/relationships/hyperlink" Target="https://www.cope.es/n/305975" TargetMode="External"/><Relationship Id="rId1001" Type="http://schemas.openxmlformats.org/officeDocument/2006/relationships/hyperlink" Target="https://twitter.com/Alvisepf/status/1069460783548022784" TargetMode="External"/><Relationship Id="rId1446" Type="http://schemas.openxmlformats.org/officeDocument/2006/relationships/hyperlink" Target="https://pbs.twimg.com/media/DtqnDurXcAIhA9Y.jpg" TargetMode="External"/><Relationship Id="rId1653" Type="http://schemas.openxmlformats.org/officeDocument/2006/relationships/hyperlink" Target="http://www.bitmomentum.com/" TargetMode="External"/><Relationship Id="rId1860" Type="http://schemas.openxmlformats.org/officeDocument/2006/relationships/hyperlink" Target="https://twitter.com/anarosaq/status/1070034841066983427" TargetMode="External"/><Relationship Id="rId1306" Type="http://schemas.openxmlformats.org/officeDocument/2006/relationships/hyperlink" Target="http://abc.es/" TargetMode="External"/><Relationship Id="rId1513" Type="http://schemas.openxmlformats.org/officeDocument/2006/relationships/hyperlink" Target="http://pic.twitter.com/DecKGKTZRW" TargetMode="External"/><Relationship Id="rId1720" Type="http://schemas.openxmlformats.org/officeDocument/2006/relationships/hyperlink" Target="https://pbs.twimg.com/media/DtpZjhKX4AIFfdw.jpg" TargetMode="External"/><Relationship Id="rId1958" Type="http://schemas.openxmlformats.org/officeDocument/2006/relationships/hyperlink" Target="https://www.abc.es/espana/abci-santiago-abascal-sanchez-no-dura-minuto-moncloa-si-adelanta-elecciones-201812042205_noticia.html" TargetMode="External"/><Relationship Id="rId12" Type="http://schemas.openxmlformats.org/officeDocument/2006/relationships/hyperlink" Target="http://www.bitmomentum.com/" TargetMode="External"/><Relationship Id="rId1818" Type="http://schemas.openxmlformats.org/officeDocument/2006/relationships/hyperlink" Target="https://pbs.twimg.com/media/DtpFN1-W0AIPxl6.jpg" TargetMode="External"/><Relationship Id="rId161" Type="http://schemas.openxmlformats.org/officeDocument/2006/relationships/hyperlink" Target="https://okdiario.com/espana/2018/12/07/separatistas-manipulan-foto-abascal-mostrarle-besando-tumba-franco-3440935?utm_campaign=inda&amp;utm_medium=Social&amp;utm_source=Twitter" TargetMode="External"/><Relationship Id="rId399" Type="http://schemas.openxmlformats.org/officeDocument/2006/relationships/hyperlink" Target="https://pbs.twimg.com/media/Dt057h6XgAIC_Hp.jpg" TargetMode="External"/><Relationship Id="rId2287" Type="http://schemas.openxmlformats.org/officeDocument/2006/relationships/hyperlink" Target="http://pic.twitter.com/NWRrGgZiBe" TargetMode="External"/><Relationship Id="rId259" Type="http://schemas.openxmlformats.org/officeDocument/2006/relationships/hyperlink" Target="https://pbs.twimg.com/media/Dt2HM86WkAAdz_2.jpg" TargetMode="External"/><Relationship Id="rId466" Type="http://schemas.openxmlformats.org/officeDocument/2006/relationships/hyperlink" Target="https://youtu.be/nYzuCr7FnyI" TargetMode="External"/><Relationship Id="rId673" Type="http://schemas.openxmlformats.org/officeDocument/2006/relationships/hyperlink" Target="https://pbs.twimg.com/media/Dtu3J4EWkAEsXK8.jpg" TargetMode="External"/><Relationship Id="rId880" Type="http://schemas.openxmlformats.org/officeDocument/2006/relationships/hyperlink" Target="https://youtu.be/oIMxo0mWe0Q" TargetMode="External"/><Relationship Id="rId1096" Type="http://schemas.openxmlformats.org/officeDocument/2006/relationships/hyperlink" Target="https://twitter.com/brunaskaff/status/1070279496413126656" TargetMode="External"/><Relationship Id="rId2147" Type="http://schemas.openxmlformats.org/officeDocument/2006/relationships/hyperlink" Target="https://maldita.es/malditodato/cuando-abascal-cobraba-mas-que-el-presidente-del-gobierno-por-cargos-a-dedo-pagados-con-dinero-publico/" TargetMode="External"/><Relationship Id="rId2354" Type="http://schemas.openxmlformats.org/officeDocument/2006/relationships/hyperlink" Target="http://www.huelvainformacion.es/" TargetMode="External"/><Relationship Id="rId119" Type="http://schemas.openxmlformats.org/officeDocument/2006/relationships/hyperlink" Target="https://www.elindependiente.com/politica/2018/12/08/euskadi-la-tierra-que-esculpio-al-lider-de-vox-santiago-abascal/?utm_source=share_buttons&amp;utm_medium=twitter&amp;utm_campaign=social_share" TargetMode="External"/><Relationship Id="rId326" Type="http://schemas.openxmlformats.org/officeDocument/2006/relationships/hyperlink" Target="https://pbs.twimg.com/media/Dt1gqMBXQAIPnz9.jpg" TargetMode="External"/><Relationship Id="rId533" Type="http://schemas.openxmlformats.org/officeDocument/2006/relationships/hyperlink" Target="https://www.actuall.com/author/fjcontreras/" TargetMode="External"/><Relationship Id="rId978" Type="http://schemas.openxmlformats.org/officeDocument/2006/relationships/hyperlink" Target="http://www.plafarma.org/" TargetMode="External"/><Relationship Id="rId1163" Type="http://schemas.openxmlformats.org/officeDocument/2006/relationships/hyperlink" Target="http://www.bitmomentum.com/" TargetMode="External"/><Relationship Id="rId1370" Type="http://schemas.openxmlformats.org/officeDocument/2006/relationships/hyperlink" Target="https://m.facebook.com/story.php?story_fbid=10216548224718751&amp;id=1252487398" TargetMode="External"/><Relationship Id="rId2007" Type="http://schemas.openxmlformats.org/officeDocument/2006/relationships/hyperlink" Target="https://lacedemoniablog.wordpress.com/" TargetMode="External"/><Relationship Id="rId2214" Type="http://schemas.openxmlformats.org/officeDocument/2006/relationships/hyperlink" Target="https://pbs.twimg.com/media/Dtl9MtkW4AAwYvK.jpg" TargetMode="External"/><Relationship Id="rId740" Type="http://schemas.openxmlformats.org/officeDocument/2006/relationships/hyperlink" Target="https://twitter.com/diario_realidad/status/1070334857669169153" TargetMode="External"/><Relationship Id="rId838" Type="http://schemas.openxmlformats.org/officeDocument/2006/relationships/hyperlink" Target="http://pic.twitter.com/30na8ebbZu" TargetMode="External"/><Relationship Id="rId1023" Type="http://schemas.openxmlformats.org/officeDocument/2006/relationships/hyperlink" Target="https://www.ideal.es/nacional/primera-mentira-abascal-20181205152953-ntrc.html" TargetMode="External"/><Relationship Id="rId1468" Type="http://schemas.openxmlformats.org/officeDocument/2006/relationships/hyperlink" Target="https://pbs.twimg.com/media/DtqhajVWwAEVRcV.jpg" TargetMode="External"/><Relationship Id="rId1675" Type="http://schemas.openxmlformats.org/officeDocument/2006/relationships/hyperlink" Target="https://www.youtube.com/watch?v=aPF5KIfOkpQ&amp;t=15s" TargetMode="External"/><Relationship Id="rId1882" Type="http://schemas.openxmlformats.org/officeDocument/2006/relationships/hyperlink" Target="http://pic.twitter.com/2WHmlgTWlJ" TargetMode="External"/><Relationship Id="rId600" Type="http://schemas.openxmlformats.org/officeDocument/2006/relationships/hyperlink" Target="https://pbs.twimg.com/media/DtzOOmfWkAE2oiq.jpg" TargetMode="External"/><Relationship Id="rId1230" Type="http://schemas.openxmlformats.org/officeDocument/2006/relationships/hyperlink" Target="https://pbs.twimg.com/media/DtpSIPMWsAA8nMe.jpg" TargetMode="External"/><Relationship Id="rId1328" Type="http://schemas.openxmlformats.org/officeDocument/2006/relationships/hyperlink" Target="http://pic.twitter.com/sQQQMtGvUc" TargetMode="External"/><Relationship Id="rId1535" Type="http://schemas.openxmlformats.org/officeDocument/2006/relationships/hyperlink" Target="http://www.elcoronelpakez.com/" TargetMode="External"/><Relationship Id="rId905" Type="http://schemas.openxmlformats.org/officeDocument/2006/relationships/hyperlink" Target="https://occ.org.es/index.php/quienes-somos-que-hacemos/" TargetMode="External"/><Relationship Id="rId1742" Type="http://schemas.openxmlformats.org/officeDocument/2006/relationships/hyperlink" Target="https://www.voxespana.es/afiliarse-a-vox" TargetMode="External"/><Relationship Id="rId34" Type="http://schemas.openxmlformats.org/officeDocument/2006/relationships/hyperlink" Target="http://pic.twitter.com/8RVNoySEGB" TargetMode="External"/><Relationship Id="rId544" Type="http://schemas.openxmlformats.org/officeDocument/2006/relationships/hyperlink" Target="https://pbs.twimg.com/media/Dtr7e1NXcAAY3bc.jpg" TargetMode="External"/><Relationship Id="rId751" Type="http://schemas.openxmlformats.org/officeDocument/2006/relationships/hyperlink" Target="https://twitter.com/vox_es/status/1070648664102748162" TargetMode="External"/><Relationship Id="rId849" Type="http://schemas.openxmlformats.org/officeDocument/2006/relationships/hyperlink" Target="http://www.diariosur.es/" TargetMode="External"/><Relationship Id="rId1174" Type="http://schemas.openxmlformats.org/officeDocument/2006/relationships/hyperlink" Target="https://pbs.twimg.com/media/Dtr8ynpWoAECZIC.jpg" TargetMode="External"/><Relationship Id="rId1381" Type="http://schemas.openxmlformats.org/officeDocument/2006/relationships/hyperlink" Target="http://pic.twitter.com/ilGbhIzT8F" TargetMode="External"/><Relationship Id="rId1479" Type="http://schemas.openxmlformats.org/officeDocument/2006/relationships/hyperlink" Target="https://youtu.be/EdpZF3nLMF8" TargetMode="External"/><Relationship Id="rId1602" Type="http://schemas.openxmlformats.org/officeDocument/2006/relationships/hyperlink" Target="https://www.youtube.com/channel/UCJv8utNw95mbEh-oEw002mQ" TargetMode="External"/><Relationship Id="rId1686" Type="http://schemas.openxmlformats.org/officeDocument/2006/relationships/hyperlink" Target="http://bit.ly/2BRAbMB" TargetMode="External"/><Relationship Id="rId2225" Type="http://schemas.openxmlformats.org/officeDocument/2006/relationships/hyperlink" Target="https://www.publico.es/tremending/2018/12/04/elecciones-andalucia-2018-el-exlider-del-ku-klux-klan-david-duke-celebra-el-resultado-de-vox-en-andalucia/?utm_source=twitter&amp;utm_medium=social&amp;utm_campaign=publico" TargetMode="External"/><Relationship Id="rId183" Type="http://schemas.openxmlformats.org/officeDocument/2006/relationships/hyperlink" Target="http://www.bitmomentum.com/" TargetMode="External"/><Relationship Id="rId390" Type="http://schemas.openxmlformats.org/officeDocument/2006/relationships/hyperlink" Target="https://pbs.twimg.com/media/Dt07aI0XgAAzlIn.jpg" TargetMode="External"/><Relationship Id="rId404" Type="http://schemas.openxmlformats.org/officeDocument/2006/relationships/hyperlink" Target="http://instagram.com/teodorovox" TargetMode="External"/><Relationship Id="rId611" Type="http://schemas.openxmlformats.org/officeDocument/2006/relationships/hyperlink" Target="https://twitter.com/pnique/status/1070344137008918528" TargetMode="External"/><Relationship Id="rId1034" Type="http://schemas.openxmlformats.org/officeDocument/2006/relationships/hyperlink" Target="https://pbs.twimg.com/media/DtuNIriXQAANqhe.jpg" TargetMode="External"/><Relationship Id="rId1241" Type="http://schemas.openxmlformats.org/officeDocument/2006/relationships/hyperlink" Target="http://www.tendidodesol.com/" TargetMode="External"/><Relationship Id="rId1339" Type="http://schemas.openxmlformats.org/officeDocument/2006/relationships/hyperlink" Target="http://www.zztop.es/" TargetMode="External"/><Relationship Id="rId1893" Type="http://schemas.openxmlformats.org/officeDocument/2006/relationships/hyperlink" Target="https://pbs.twimg.com/media/Dto52qcWkAUr7i1.jpg" TargetMode="External"/><Relationship Id="rId1907" Type="http://schemas.openxmlformats.org/officeDocument/2006/relationships/hyperlink" Target="http://www.lextres.com/" TargetMode="External"/><Relationship Id="rId2071" Type="http://schemas.openxmlformats.org/officeDocument/2006/relationships/hyperlink" Target="https://youtu.be/S8_g6JS2z24" TargetMode="External"/><Relationship Id="rId250" Type="http://schemas.openxmlformats.org/officeDocument/2006/relationships/hyperlink" Target="https://okdiario.com/espana/2018/12/07/separatistas-manipulan-foto-abascal-mostrarle-besando-tumba-franco-3440935?utm_source=onesignal&amp;utm_medium=notificacion" TargetMode="External"/><Relationship Id="rId488" Type="http://schemas.openxmlformats.org/officeDocument/2006/relationships/hyperlink" Target="https://okdiario.com/espana/2018/12/07/iglesias-da-razon-abascal-derecho-portar-armas-bases-democracia-3438627?utm_campaign=ok&amp;utm_medium=Social&amp;utm_source=Twitter" TargetMode="External"/><Relationship Id="rId695" Type="http://schemas.openxmlformats.org/officeDocument/2006/relationships/hyperlink" Target="https://pbs.twimg.com/media/DtxISneXcAAxLCK.jpg" TargetMode="External"/><Relationship Id="rId709" Type="http://schemas.openxmlformats.org/officeDocument/2006/relationships/hyperlink" Target="https://twitter.com/jordievole/status/1070432064099532800" TargetMode="External"/><Relationship Id="rId916" Type="http://schemas.openxmlformats.org/officeDocument/2006/relationships/hyperlink" Target="https://pbs.twimg.com/media/Dtu-QxPXgAAR4rs.jpg" TargetMode="External"/><Relationship Id="rId1101" Type="http://schemas.openxmlformats.org/officeDocument/2006/relationships/hyperlink" Target="https://youtu.be/EdpZF3nLMF8" TargetMode="External"/><Relationship Id="rId1546" Type="http://schemas.openxmlformats.org/officeDocument/2006/relationships/hyperlink" Target="https://pbs.twimg.com/media/DtpSIPMWsAA8nMe.jpg" TargetMode="External"/><Relationship Id="rId1753" Type="http://schemas.openxmlformats.org/officeDocument/2006/relationships/hyperlink" Target="http://www.telecinco.es/elprogramadeanarosa" TargetMode="External"/><Relationship Id="rId1960" Type="http://schemas.openxmlformats.org/officeDocument/2006/relationships/hyperlink" Target="https://youtu.be/S8_g6JS2z24" TargetMode="External"/><Relationship Id="rId2169" Type="http://schemas.openxmlformats.org/officeDocument/2006/relationships/hyperlink" Target="https://twitter.com/eslatarde/status/1069976333038571521" TargetMode="External"/><Relationship Id="rId2376" Type="http://schemas.openxmlformats.org/officeDocument/2006/relationships/hyperlink" Target="https://twitter.com/Santi_ABASCAL/status/1069949221175001089" TargetMode="External"/><Relationship Id="rId45" Type="http://schemas.openxmlformats.org/officeDocument/2006/relationships/hyperlink" Target="https://voiceofeurope.com/" TargetMode="External"/><Relationship Id="rId110" Type="http://schemas.openxmlformats.org/officeDocument/2006/relationships/hyperlink" Target="https://twitter.com/govern/status/1070715545622847488" TargetMode="External"/><Relationship Id="rId348" Type="http://schemas.openxmlformats.org/officeDocument/2006/relationships/hyperlink" Target="http://www.dondiario.com/" TargetMode="External"/><Relationship Id="rId555" Type="http://schemas.openxmlformats.org/officeDocument/2006/relationships/hyperlink" Target="http://www.imdb.com/name/nm2038728/" TargetMode="External"/><Relationship Id="rId762" Type="http://schemas.openxmlformats.org/officeDocument/2006/relationships/hyperlink" Target="https://twitter.com/lbalcarce/status/1070599229394092033" TargetMode="External"/><Relationship Id="rId1185" Type="http://schemas.openxmlformats.org/officeDocument/2006/relationships/hyperlink" Target="https://pbs.twimg.com/media/Dtr6Vj8WoAAgrov.jpg" TargetMode="External"/><Relationship Id="rId1392" Type="http://schemas.openxmlformats.org/officeDocument/2006/relationships/hyperlink" Target="http://www.linkedin.com/in/fatima-iglesias-41168152" TargetMode="External"/><Relationship Id="rId1406" Type="http://schemas.openxmlformats.org/officeDocument/2006/relationships/hyperlink" Target="https://www.periodistadigital.com/periodismo/tv/2018/12/05/ferreras-echenique-pistola-abascal-anguita-podemita-vox.shtml" TargetMode="External"/><Relationship Id="rId1613" Type="http://schemas.openxmlformats.org/officeDocument/2006/relationships/hyperlink" Target="https://pbs.twimg.com/media/Dtp5c9xW0AA3IEd.jpg" TargetMode="External"/><Relationship Id="rId1820" Type="http://schemas.openxmlformats.org/officeDocument/2006/relationships/hyperlink" Target="https://www.diariosur.es/elecciones/andaluzas/santiago-abascal-agresiones-mujeres-extranjeros-20181205204345-ntrc.html" TargetMode="External"/><Relationship Id="rId2029" Type="http://schemas.openxmlformats.org/officeDocument/2006/relationships/hyperlink" Target="http://www.bitmomentum.com/" TargetMode="External"/><Relationship Id="rId2236" Type="http://schemas.openxmlformats.org/officeDocument/2006/relationships/hyperlink" Target="http://www.bitmomentum.com/" TargetMode="External"/><Relationship Id="rId194" Type="http://schemas.openxmlformats.org/officeDocument/2006/relationships/hyperlink" Target="https://twitter.com/jordievole/status/1070432064099532800" TargetMode="External"/><Relationship Id="rId208" Type="http://schemas.openxmlformats.org/officeDocument/2006/relationships/hyperlink" Target="http://www.bitmomentum.com/" TargetMode="External"/><Relationship Id="rId415" Type="http://schemas.openxmlformats.org/officeDocument/2006/relationships/hyperlink" Target="https://pbs.twimg.com/media/Dt0w1kVX4AAGBHP.jpg" TargetMode="External"/><Relationship Id="rId622" Type="http://schemas.openxmlformats.org/officeDocument/2006/relationships/hyperlink" Target="http://www.malostratosfalsos.com/" TargetMode="External"/><Relationship Id="rId1045" Type="http://schemas.openxmlformats.org/officeDocument/2006/relationships/hyperlink" Target="http://pic.twitter.com/ra6xX9FP3b" TargetMode="External"/><Relationship Id="rId1252" Type="http://schemas.openxmlformats.org/officeDocument/2006/relationships/hyperlink" Target="http://www.voxespana.es/" TargetMode="External"/><Relationship Id="rId1697" Type="http://schemas.openxmlformats.org/officeDocument/2006/relationships/hyperlink" Target="http://www.elcheclubdefutbolsad.com/" TargetMode="External"/><Relationship Id="rId1918" Type="http://schemas.openxmlformats.org/officeDocument/2006/relationships/hyperlink" Target="http://dozz.es/oa7_j4" TargetMode="External"/><Relationship Id="rId2082" Type="http://schemas.openxmlformats.org/officeDocument/2006/relationships/hyperlink" Target="https://twitter.com/sanchezcastejon/status/1070061628085940224" TargetMode="External"/><Relationship Id="rId2303" Type="http://schemas.openxmlformats.org/officeDocument/2006/relationships/hyperlink" Target="https://twitter.com/timido766/status/1069724289476243458" TargetMode="External"/><Relationship Id="rId261" Type="http://schemas.openxmlformats.org/officeDocument/2006/relationships/hyperlink" Target="https://twitter.com/Santi_ABASCAL/status/1071151555364167682" TargetMode="External"/><Relationship Id="rId499" Type="http://schemas.openxmlformats.org/officeDocument/2006/relationships/hyperlink" Target="http://www.alvaronaufrago.com/" TargetMode="External"/><Relationship Id="rId927" Type="http://schemas.openxmlformats.org/officeDocument/2006/relationships/hyperlink" Target="https://www.facebook.com/profile.php?id=100011075051553" TargetMode="External"/><Relationship Id="rId1112" Type="http://schemas.openxmlformats.org/officeDocument/2006/relationships/hyperlink" Target="https://pbs.twimg.com/media/DttOZUdXQAAppSC.jpg" TargetMode="External"/><Relationship Id="rId1557" Type="http://schemas.openxmlformats.org/officeDocument/2006/relationships/hyperlink" Target="https://twitter.com/josepramonbosch/status/1069958392578535424" TargetMode="External"/><Relationship Id="rId1764" Type="http://schemas.openxmlformats.org/officeDocument/2006/relationships/hyperlink" Target="http://www.elcheclubdefutbolsad.com/" TargetMode="External"/><Relationship Id="rId1971" Type="http://schemas.openxmlformats.org/officeDocument/2006/relationships/hyperlink" Target="https://twitter.com/anarosaq/status/1070034841066983427" TargetMode="External"/><Relationship Id="rId2387" Type="http://schemas.openxmlformats.org/officeDocument/2006/relationships/hyperlink" Target="http://www.psoe.es/" TargetMode="External"/><Relationship Id="rId56" Type="http://schemas.openxmlformats.org/officeDocument/2006/relationships/hyperlink" Target="https://pbs.twimg.com/media/Dt5fpNgX4AA56if.jpg" TargetMode="External"/><Relationship Id="rId359" Type="http://schemas.openxmlformats.org/officeDocument/2006/relationships/hyperlink" Target="https://twitter.com/miotroyo2parte/status/1070994564868128769" TargetMode="External"/><Relationship Id="rId566" Type="http://schemas.openxmlformats.org/officeDocument/2006/relationships/hyperlink" Target="https://twitter.com/Pablito_Pablera/status/1070430839585026048" TargetMode="External"/><Relationship Id="rId773" Type="http://schemas.openxmlformats.org/officeDocument/2006/relationships/hyperlink" Target="http://youtu.be/vCzgGgIgofk?a" TargetMode="External"/><Relationship Id="rId1196" Type="http://schemas.openxmlformats.org/officeDocument/2006/relationships/hyperlink" Target="https://www.moncloa.com/etb-vox-yunque-iran-abascal/" TargetMode="External"/><Relationship Id="rId1417" Type="http://schemas.openxmlformats.org/officeDocument/2006/relationships/hyperlink" Target="https://www.voxespana.es/guadalajara" TargetMode="External"/><Relationship Id="rId1624" Type="http://schemas.openxmlformats.org/officeDocument/2006/relationships/hyperlink" Target="https://pbs.twimg.com/media/DtmSzMDX4AAmi-V.jpg" TargetMode="External"/><Relationship Id="rId1831" Type="http://schemas.openxmlformats.org/officeDocument/2006/relationships/hyperlink" Target="https://www.abc.es/espana/abci-detenidos-quema-contenedores-y-agresiones-policias-y-periodistas-manifestacion-contra-cadiz-201812050022_noticia.html" TargetMode="External"/><Relationship Id="rId2247" Type="http://schemas.openxmlformats.org/officeDocument/2006/relationships/hyperlink" Target="https://www.youtube.com/channel/UC9vJW6d7ZWspsQBghVplU0A/videos" TargetMode="External"/><Relationship Id="rId121" Type="http://schemas.openxmlformats.org/officeDocument/2006/relationships/hyperlink" Target="https://twitter.com/ahorapodemos/status/1071107478820188160" TargetMode="External"/><Relationship Id="rId219" Type="http://schemas.openxmlformats.org/officeDocument/2006/relationships/hyperlink" Target="https://twitter.com/wyomingagain/status/1070803140348387328" TargetMode="External"/><Relationship Id="rId426" Type="http://schemas.openxmlformats.org/officeDocument/2006/relationships/hyperlink" Target="http://dlvr.it/Qt46yM" TargetMode="External"/><Relationship Id="rId633" Type="http://schemas.openxmlformats.org/officeDocument/2006/relationships/hyperlink" Target="https://twitter.com/arturelpayaso2/status/1070703901127651329" TargetMode="External"/><Relationship Id="rId980" Type="http://schemas.openxmlformats.org/officeDocument/2006/relationships/hyperlink" Target="https://pbs.twimg.com/media/DtugEMxWwAU8h7X.jpg" TargetMode="External"/><Relationship Id="rId1056" Type="http://schemas.openxmlformats.org/officeDocument/2006/relationships/hyperlink" Target="https://twitter.com/vox_es/status/1070393579317673992" TargetMode="External"/><Relationship Id="rId1263" Type="http://schemas.openxmlformats.org/officeDocument/2006/relationships/hyperlink" Target="http://lavoz.gal/aatkt2" TargetMode="External"/><Relationship Id="rId1929" Type="http://schemas.openxmlformats.org/officeDocument/2006/relationships/hyperlink" Target="https://www.facebook.com/groups/1523383624657240/?fref=nf" TargetMode="External"/><Relationship Id="rId2093" Type="http://schemas.openxmlformats.org/officeDocument/2006/relationships/hyperlink" Target="https://twitter.com/anarosaq/status/1070034841066983427" TargetMode="External"/><Relationship Id="rId2107" Type="http://schemas.openxmlformats.org/officeDocument/2006/relationships/hyperlink" Target="https://pbs.twimg.com/media/DtmdqwUWwAAkmI8.jpg" TargetMode="External"/><Relationship Id="rId2314" Type="http://schemas.openxmlformats.org/officeDocument/2006/relationships/hyperlink" Target="https://www.reeditor.com/columnista/1494/david/laso/carballo/" TargetMode="External"/><Relationship Id="rId840" Type="http://schemas.openxmlformats.org/officeDocument/2006/relationships/hyperlink" Target="https://pbs.twimg.com/media/DtugEMxWwAU8h7X.jpg" TargetMode="External"/><Relationship Id="rId938" Type="http://schemas.openxmlformats.org/officeDocument/2006/relationships/hyperlink" Target="https://www.libremercado.com/2018-12-06/la-ley-del-oeste-llega-a-la-sierra-de-guadarrama-dormimos-con-la-escopeta-y-un-ojo-abierto-1276629364/" TargetMode="External"/><Relationship Id="rId1470" Type="http://schemas.openxmlformats.org/officeDocument/2006/relationships/hyperlink" Target="https://www.abc.es/espana/abci-santiago-abascal-sanchez-no-dura-minuto-moncloa-si-adelanta-elecciones-201812042205_noticia.html" TargetMode="External"/><Relationship Id="rId1568" Type="http://schemas.openxmlformats.org/officeDocument/2006/relationships/hyperlink" Target="http://www.instagram.com/paulajauregui" TargetMode="External"/><Relationship Id="rId1775" Type="http://schemas.openxmlformats.org/officeDocument/2006/relationships/hyperlink" Target="http://www.telecinco.es/elprogramadeanarosa" TargetMode="External"/><Relationship Id="rId2398" Type="http://schemas.openxmlformats.org/officeDocument/2006/relationships/hyperlink" Target="http://pic.twitter.com/j1UqiWR0Lk" TargetMode="External"/><Relationship Id="rId67" Type="http://schemas.openxmlformats.org/officeDocument/2006/relationships/hyperlink" Target="https://www.moncloa.com/etb-vox-yunque-iran-abascal/" TargetMode="External"/><Relationship Id="rId272" Type="http://schemas.openxmlformats.org/officeDocument/2006/relationships/hyperlink" Target="https://twitter.com/FSerranoCastro/status/1071036193553440770" TargetMode="External"/><Relationship Id="rId577" Type="http://schemas.openxmlformats.org/officeDocument/2006/relationships/hyperlink" Target="http://www.casareal.es/" TargetMode="External"/><Relationship Id="rId700" Type="http://schemas.openxmlformats.org/officeDocument/2006/relationships/hyperlink" Target="http://pic.twitter.com/vZvtLpiW99" TargetMode="External"/><Relationship Id="rId1123" Type="http://schemas.openxmlformats.org/officeDocument/2006/relationships/hyperlink" Target="https://obertament.org/ca/lluita-contra-l-estigma/histories-de-vida-en-1-persona/blogs/author/285-al" TargetMode="External"/><Relationship Id="rId1330" Type="http://schemas.openxmlformats.org/officeDocument/2006/relationships/hyperlink" Target="https://pbs.twimg.com/media/DtrMh3yWwAEopxb.jpg" TargetMode="External"/><Relationship Id="rId1428" Type="http://schemas.openxmlformats.org/officeDocument/2006/relationships/hyperlink" Target="http://pic.twitter.com/JFCfZkJocB" TargetMode="External"/><Relationship Id="rId1635" Type="http://schemas.openxmlformats.org/officeDocument/2006/relationships/hyperlink" Target="http://www.jaimepereira.es/" TargetMode="External"/><Relationship Id="rId1982" Type="http://schemas.openxmlformats.org/officeDocument/2006/relationships/hyperlink" Target="https://www.libertaddigital.com/espana/politica/2018-11-27/santi-abascal-a-casado-la-recuperacion-de-las-competencias-en-educacion-es-gracias-a-vox-1276628973/" TargetMode="External"/><Relationship Id="rId2160" Type="http://schemas.openxmlformats.org/officeDocument/2006/relationships/hyperlink" Target="http://www.bitmomentum.com/" TargetMode="External"/><Relationship Id="rId2258" Type="http://schemas.openxmlformats.org/officeDocument/2006/relationships/hyperlink" Target="https://www.libertaddigital.com/espana/2018-12-04/la-ministra-delgado-defiende-la-constitucionalidad-de-los-separatistas-frente-a-vox-1276629336/" TargetMode="External"/><Relationship Id="rId132" Type="http://schemas.openxmlformats.org/officeDocument/2006/relationships/hyperlink" Target="http://www.bitmomentum.com/" TargetMode="External"/><Relationship Id="rId784" Type="http://schemas.openxmlformats.org/officeDocument/2006/relationships/hyperlink" Target="http://laboratorio-mabuse.blogspot.com/" TargetMode="External"/><Relationship Id="rId991" Type="http://schemas.openxmlformats.org/officeDocument/2006/relationships/hyperlink" Target="https://pbs.twimg.com/media/DtuefXmXcAAbEzv.jpg" TargetMode="External"/><Relationship Id="rId1067" Type="http://schemas.openxmlformats.org/officeDocument/2006/relationships/hyperlink" Target="https://twitter.com/aguerraalonso3/status/1070570924913688578" TargetMode="External"/><Relationship Id="rId1842" Type="http://schemas.openxmlformats.org/officeDocument/2006/relationships/hyperlink" Target="https://pbs.twimg.com/media/DtpB9GxW4AYGORU.jpg" TargetMode="External"/><Relationship Id="rId2020" Type="http://schemas.openxmlformats.org/officeDocument/2006/relationships/hyperlink" Target="https://twitter.com/mecagoenfrodo/status/1070070181739880449" TargetMode="External"/><Relationship Id="rId437" Type="http://schemas.openxmlformats.org/officeDocument/2006/relationships/hyperlink" Target="http://pic.twitter.com/xlLbDpoF8M" TargetMode="External"/><Relationship Id="rId644" Type="http://schemas.openxmlformats.org/officeDocument/2006/relationships/hyperlink" Target="https://twitter.com/libertadtv_/status/1070303678463119360" TargetMode="External"/><Relationship Id="rId851" Type="http://schemas.openxmlformats.org/officeDocument/2006/relationships/hyperlink" Target="https://www.facebook.com/ilbahs" TargetMode="External"/><Relationship Id="rId1274" Type="http://schemas.openxmlformats.org/officeDocument/2006/relationships/hyperlink" Target="https://youtu.be/EdpZF3nLMF8" TargetMode="External"/><Relationship Id="rId1481" Type="http://schemas.openxmlformats.org/officeDocument/2006/relationships/hyperlink" Target="https://twitter.com/AuradeCristal87/status/1069935513749151744" TargetMode="External"/><Relationship Id="rId1579" Type="http://schemas.openxmlformats.org/officeDocument/2006/relationships/hyperlink" Target="https://pbs.twimg.com/media/DtqAFY9XgAEeff7.jpg" TargetMode="External"/><Relationship Id="rId1702" Type="http://schemas.openxmlformats.org/officeDocument/2006/relationships/hyperlink" Target="https://twitter.com/anarosaq/status/1070034841066983427" TargetMode="External"/><Relationship Id="rId2118" Type="http://schemas.openxmlformats.org/officeDocument/2006/relationships/hyperlink" Target="https://pbs.twimg.com/media/DtmdQ4EXQAAMxKW.jpg" TargetMode="External"/><Relationship Id="rId2325" Type="http://schemas.openxmlformats.org/officeDocument/2006/relationships/hyperlink" Target="https://twitter.com/arturelpayaso2/status/1069964221558022147" TargetMode="External"/><Relationship Id="rId283" Type="http://schemas.openxmlformats.org/officeDocument/2006/relationships/hyperlink" Target="https://youtu.be/JFFGy_TF8pI" TargetMode="External"/><Relationship Id="rId490" Type="http://schemas.openxmlformats.org/officeDocument/2006/relationships/hyperlink" Target="https://gab.com/PalomaLibre" TargetMode="External"/><Relationship Id="rId504" Type="http://schemas.openxmlformats.org/officeDocument/2006/relationships/hyperlink" Target="https://www.voxespana.es/badajoz" TargetMode="External"/><Relationship Id="rId711" Type="http://schemas.openxmlformats.org/officeDocument/2006/relationships/hyperlink" Target="http://www.tabarnia.es/" TargetMode="External"/><Relationship Id="rId949" Type="http://schemas.openxmlformats.org/officeDocument/2006/relationships/hyperlink" Target="http://www.padulapartners.com/" TargetMode="External"/><Relationship Id="rId1134" Type="http://schemas.openxmlformats.org/officeDocument/2006/relationships/hyperlink" Target="http://www.cope.es/" TargetMode="External"/><Relationship Id="rId1341" Type="http://schemas.openxmlformats.org/officeDocument/2006/relationships/hyperlink" Target="https://www.voxespana.es/" TargetMode="External"/><Relationship Id="rId1786" Type="http://schemas.openxmlformats.org/officeDocument/2006/relationships/hyperlink" Target="https://www.youtube.com/watch?v=48-1luANI7g&amp;t=28s" TargetMode="External"/><Relationship Id="rId1993" Type="http://schemas.openxmlformats.org/officeDocument/2006/relationships/hyperlink" Target="http://www.bitmomentum.com/" TargetMode="External"/><Relationship Id="rId2171" Type="http://schemas.openxmlformats.org/officeDocument/2006/relationships/hyperlink" Target="https://leotaxil.wordpress.com/" TargetMode="External"/><Relationship Id="rId78" Type="http://schemas.openxmlformats.org/officeDocument/2006/relationships/hyperlink" Target="http://gaab75.blogspot.com/" TargetMode="External"/><Relationship Id="rId143" Type="http://schemas.openxmlformats.org/officeDocument/2006/relationships/hyperlink" Target="https://okdiario.com/espana/2018/12/07/separatistas-manipulan-foto-abascal-mostrarle-besando-tumba-franco-3440935?utm_campaign=ok&amp;utm_medium=Social&amp;utm_source=Twitter" TargetMode="External"/><Relationship Id="rId350" Type="http://schemas.openxmlformats.org/officeDocument/2006/relationships/hyperlink" Target="https://pbs.twimg.com/media/Dt1WQljX4AEqzFN.jpg" TargetMode="External"/><Relationship Id="rId588" Type="http://schemas.openxmlformats.org/officeDocument/2006/relationships/hyperlink" Target="https://www.huffingtonpost.es/2018/12/03/santi-abascal-en-estado-puro-sus-peores-frases_a_23606746/?ncid=other_twitter_cooo9wqtham&amp;utm_campaign=share_twitter" TargetMode="External"/><Relationship Id="rId795" Type="http://schemas.openxmlformats.org/officeDocument/2006/relationships/hyperlink" Target="http://pic.twitter.com/P4q16pT5Wv" TargetMode="External"/><Relationship Id="rId809" Type="http://schemas.openxmlformats.org/officeDocument/2006/relationships/hyperlink" Target="https://pbs.twimg.com/media/Dtv4gL0X4AAPZOv.jpg" TargetMode="External"/><Relationship Id="rId1201" Type="http://schemas.openxmlformats.org/officeDocument/2006/relationships/hyperlink" Target="https://pbs.twimg.com/media/DtrzbXDW0AAx2Uc.jpg" TargetMode="External"/><Relationship Id="rId1439" Type="http://schemas.openxmlformats.org/officeDocument/2006/relationships/hyperlink" Target="http://youtu.be/vCzgGgIgofk?a" TargetMode="External"/><Relationship Id="rId1646" Type="http://schemas.openxmlformats.org/officeDocument/2006/relationships/hyperlink" Target="https://www.lasprovincias.es/politica/lidia-bedman-mujer-20181011183041-nt.html" TargetMode="External"/><Relationship Id="rId1853" Type="http://schemas.openxmlformats.org/officeDocument/2006/relationships/hyperlink" Target="https://pbs.twimg.com/media/DtpBJiwW4AEPfaz.jpg" TargetMode="External"/><Relationship Id="rId2031" Type="http://schemas.openxmlformats.org/officeDocument/2006/relationships/hyperlink" Target="http://pic.twitter.com/mScv90tSv5" TargetMode="External"/><Relationship Id="rId2269" Type="http://schemas.openxmlformats.org/officeDocument/2006/relationships/hyperlink" Target="https://pbs.twimg.com/media/DtloFzMWsAAIwKk.jpg" TargetMode="External"/><Relationship Id="rId9" Type="http://schemas.openxmlformats.org/officeDocument/2006/relationships/hyperlink" Target="http://www.aloeforever.info/" TargetMode="External"/><Relationship Id="rId210" Type="http://schemas.openxmlformats.org/officeDocument/2006/relationships/hyperlink" Target="http://amutis.blogspot.com/" TargetMode="External"/><Relationship Id="rId448" Type="http://schemas.openxmlformats.org/officeDocument/2006/relationships/hyperlink" Target="http://oscarjugon.blogspot.com/" TargetMode="External"/><Relationship Id="rId655" Type="http://schemas.openxmlformats.org/officeDocument/2006/relationships/hyperlink" Target="https://pbs.twimg.com/media/Dtxgaz2WoAA3EiK.jpg" TargetMode="External"/><Relationship Id="rId862" Type="http://schemas.openxmlformats.org/officeDocument/2006/relationships/hyperlink" Target="http://esespana.com.es/" TargetMode="External"/><Relationship Id="rId1078" Type="http://schemas.openxmlformats.org/officeDocument/2006/relationships/hyperlink" Target="http://pic.twitter.com/adQygiF3FZ" TargetMode="External"/><Relationship Id="rId1285" Type="http://schemas.openxmlformats.org/officeDocument/2006/relationships/hyperlink" Target="http://www.spandalucia.com/" TargetMode="External"/><Relationship Id="rId1492" Type="http://schemas.openxmlformats.org/officeDocument/2006/relationships/hyperlink" Target="https://pbs.twimg.com/media/DtprvnqWoAAa7ZL.jpg" TargetMode="External"/><Relationship Id="rId1506" Type="http://schemas.openxmlformats.org/officeDocument/2006/relationships/hyperlink" Target="https://www.abc.es/espana/abci-santiago-abascal-sanchez-no-dura-minuto-moncloa-si-adelanta-elecciones-201812042205_noticia.html" TargetMode="External"/><Relationship Id="rId1713" Type="http://schemas.openxmlformats.org/officeDocument/2006/relationships/hyperlink" Target="http://pic.twitter.com/73LhqIooRh" TargetMode="External"/><Relationship Id="rId1920" Type="http://schemas.openxmlformats.org/officeDocument/2006/relationships/hyperlink" Target="https://pbs.twimg.com/media/DtowgSxXQAETL2f.jpg" TargetMode="External"/><Relationship Id="rId2129" Type="http://schemas.openxmlformats.org/officeDocument/2006/relationships/hyperlink" Target="https://pbs.twimg.com/media/DtmYWUjXcAIVfSK.jpg" TargetMode="External"/><Relationship Id="rId2336" Type="http://schemas.openxmlformats.org/officeDocument/2006/relationships/hyperlink" Target="http://www.psoe.es/" TargetMode="External"/><Relationship Id="rId294" Type="http://schemas.openxmlformats.org/officeDocument/2006/relationships/hyperlink" Target="https://okdiario.com/espana/2018/12/07/echenique-llama-torrente-abascal-santiago-segura-pone-sitio-3440190?utm_campaign=inda&amp;utm_medium=Social&amp;utm_source=Twitter" TargetMode="External"/><Relationship Id="rId308" Type="http://schemas.openxmlformats.org/officeDocument/2006/relationships/hyperlink" Target="https://twitter.com/vox_es/status/1070648664102748162" TargetMode="External"/><Relationship Id="rId515" Type="http://schemas.openxmlformats.org/officeDocument/2006/relationships/hyperlink" Target="http://about.me/marisoltabuyo" TargetMode="External"/><Relationship Id="rId722" Type="http://schemas.openxmlformats.org/officeDocument/2006/relationships/hyperlink" Target="https://pbs.twimg.com/media/Dtw2OqOWwAEQdtH.jpg" TargetMode="External"/><Relationship Id="rId1145" Type="http://schemas.openxmlformats.org/officeDocument/2006/relationships/hyperlink" Target="http://opinionesextremas.blogspot.com/" TargetMode="External"/><Relationship Id="rId1352" Type="http://schemas.openxmlformats.org/officeDocument/2006/relationships/hyperlink" Target="http://pic.twitter.com/G1GBXsPfXw" TargetMode="External"/><Relationship Id="rId1797" Type="http://schemas.openxmlformats.org/officeDocument/2006/relationships/hyperlink" Target="https://www.instagram.com/p/BrADB7wg82w/?utm_source=ig_twitter_share&amp;igshid=13ewjdvietpdb" TargetMode="External"/><Relationship Id="rId2182" Type="http://schemas.openxmlformats.org/officeDocument/2006/relationships/hyperlink" Target="https://pbs.twimg.com/media/DtmLAzhW0AA1_5G.jpg" TargetMode="External"/><Relationship Id="rId2403" Type="http://schemas.openxmlformats.org/officeDocument/2006/relationships/hyperlink" Target="http://www.bitmomentum.com/" TargetMode="External"/><Relationship Id="rId89" Type="http://schemas.openxmlformats.org/officeDocument/2006/relationships/hyperlink" Target="http://pic.twitter.com/1BwFykIVvR" TargetMode="External"/><Relationship Id="rId154" Type="http://schemas.openxmlformats.org/officeDocument/2006/relationships/hyperlink" Target="https://okdiario.com/autor/liberal" TargetMode="External"/><Relationship Id="rId361" Type="http://schemas.openxmlformats.org/officeDocument/2006/relationships/hyperlink" Target="https://pbs.twimg.com/media/Dt1RblAX4AEhySz.png" TargetMode="External"/><Relationship Id="rId599" Type="http://schemas.openxmlformats.org/officeDocument/2006/relationships/hyperlink" Target="http://hablandodelrealmurcia.blogspot.com.es/" TargetMode="External"/><Relationship Id="rId1005" Type="http://schemas.openxmlformats.org/officeDocument/2006/relationships/hyperlink" Target="https://pbs.twimg.com/media/DtuT2iDWsAUphwI.jpg" TargetMode="External"/><Relationship Id="rId1212" Type="http://schemas.openxmlformats.org/officeDocument/2006/relationships/hyperlink" Target="https://pbs.twimg.com/media/DtrtYYQWsBQaALe.jpg" TargetMode="External"/><Relationship Id="rId1657" Type="http://schemas.openxmlformats.org/officeDocument/2006/relationships/hyperlink" Target="https://twitter.com/santi_abascal/status/1069949221175001089" TargetMode="External"/><Relationship Id="rId1864" Type="http://schemas.openxmlformats.org/officeDocument/2006/relationships/hyperlink" Target="https://pbs.twimg.com/media/Dto96v9W0AA80XQ.jpg" TargetMode="External"/><Relationship Id="rId2042" Type="http://schemas.openxmlformats.org/officeDocument/2006/relationships/hyperlink" Target="https://pbs.twimg.com/media/DtmqbvNW0AIvwkQ.jpg" TargetMode="External"/><Relationship Id="rId459" Type="http://schemas.openxmlformats.org/officeDocument/2006/relationships/hyperlink" Target="https://www.instagram.com/charing_x" TargetMode="External"/><Relationship Id="rId666" Type="http://schemas.openxmlformats.org/officeDocument/2006/relationships/hyperlink" Target="https://www.facebook.com/josealberto.rodriguezarroyo.9" TargetMode="External"/><Relationship Id="rId873" Type="http://schemas.openxmlformats.org/officeDocument/2006/relationships/hyperlink" Target="http://turnsoffthelight.blogspot.com.es/" TargetMode="External"/><Relationship Id="rId1089" Type="http://schemas.openxmlformats.org/officeDocument/2006/relationships/hyperlink" Target="https://www.moncloa.com/etb-vox-yunque-iran-abascal/" TargetMode="External"/><Relationship Id="rId1296" Type="http://schemas.openxmlformats.org/officeDocument/2006/relationships/hyperlink" Target="https://pbs.twimg.com/media/DtrVYS2WwAAIyBe.jpg" TargetMode="External"/><Relationship Id="rId1517" Type="http://schemas.openxmlformats.org/officeDocument/2006/relationships/hyperlink" Target="https://youtu.be/iuR5DQt8aoQ" TargetMode="External"/><Relationship Id="rId1724" Type="http://schemas.openxmlformats.org/officeDocument/2006/relationships/hyperlink" Target="https://pbs.twimg.com/media/DtpXyWhWoAAJpbg.jpg" TargetMode="External"/><Relationship Id="rId2347" Type="http://schemas.openxmlformats.org/officeDocument/2006/relationships/hyperlink" Target="http://www.google.co.ve/" TargetMode="External"/><Relationship Id="rId16" Type="http://schemas.openxmlformats.org/officeDocument/2006/relationships/hyperlink" Target="https://casoaislado.com/abascal-culpa-a-iglesias-del-ataque-a-dos-afiliados-de-vox-hasta-cuando-vais-a-seguir-los-comunistas-rompiendo-la-convivencia/" TargetMode="External"/><Relationship Id="rId221" Type="http://schemas.openxmlformats.org/officeDocument/2006/relationships/hyperlink" Target="https://okdiario.com/espana/cataluna/2018/12/07/torra-cede-cup-ordena-buch-cambios-mossos-cargas-contra-cdr-3438102" TargetMode="External"/><Relationship Id="rId319" Type="http://schemas.openxmlformats.org/officeDocument/2006/relationships/hyperlink" Target="http://www.periodistadigital.com/" TargetMode="External"/><Relationship Id="rId526" Type="http://schemas.openxmlformats.org/officeDocument/2006/relationships/hyperlink" Target="https://pbs.twimg.com/media/Dtz3ixnXgAAUNUJ.jpg" TargetMode="External"/><Relationship Id="rId1156" Type="http://schemas.openxmlformats.org/officeDocument/2006/relationships/hyperlink" Target="http://www.elcheclubdefutbolsad.com/" TargetMode="External"/><Relationship Id="rId1363" Type="http://schemas.openxmlformats.org/officeDocument/2006/relationships/hyperlink" Target="https://twitter.com/RamonEspinar/status/1069965484962009091" TargetMode="External"/><Relationship Id="rId1931" Type="http://schemas.openxmlformats.org/officeDocument/2006/relationships/hyperlink" Target="https://twitter.com/trendinaliaES/timelines/1070198266581606400" TargetMode="External"/><Relationship Id="rId2207" Type="http://schemas.openxmlformats.org/officeDocument/2006/relationships/hyperlink" Target="https://amp.europapress.es/nacional/noticia-delgado-insiste-partidos-apoyaron-sanchez-aceptan-constitucion-contrario-vox-20181204110451.html" TargetMode="External"/><Relationship Id="rId733" Type="http://schemas.openxmlformats.org/officeDocument/2006/relationships/hyperlink" Target="https://www.linkedin.com/in/amin-lejarza-essalhi-601bb3a7/" TargetMode="External"/><Relationship Id="rId940" Type="http://schemas.openxmlformats.org/officeDocument/2006/relationships/hyperlink" Target="https://es.m.wikipedia.org/wiki/Santiago_Abascal_Conde" TargetMode="External"/><Relationship Id="rId1016" Type="http://schemas.openxmlformats.org/officeDocument/2006/relationships/hyperlink" Target="https://pbs.twimg.com/media/DtuOHlAW4AALbVV.jpg" TargetMode="External"/><Relationship Id="rId1570" Type="http://schemas.openxmlformats.org/officeDocument/2006/relationships/hyperlink" Target="http://www.bitmomentum.com/" TargetMode="External"/><Relationship Id="rId1668" Type="http://schemas.openxmlformats.org/officeDocument/2006/relationships/hyperlink" Target="http://pic.twitter.com/e5vqsQupPX" TargetMode="External"/><Relationship Id="rId1875" Type="http://schemas.openxmlformats.org/officeDocument/2006/relationships/hyperlink" Target="https://www.instagram.com/arezno/" TargetMode="External"/><Relationship Id="rId2193" Type="http://schemas.openxmlformats.org/officeDocument/2006/relationships/hyperlink" Target="https://youtu.be/LzgFKNb8VOc" TargetMode="External"/><Relationship Id="rId165" Type="http://schemas.openxmlformats.org/officeDocument/2006/relationships/hyperlink" Target="http://www.bitmomentum.com/" TargetMode="External"/><Relationship Id="rId372" Type="http://schemas.openxmlformats.org/officeDocument/2006/relationships/hyperlink" Target="https://pbs.twimg.com/media/Dt1KA-2W0AAr7VS.jpg" TargetMode="External"/><Relationship Id="rId677" Type="http://schemas.openxmlformats.org/officeDocument/2006/relationships/hyperlink" Target="https://twitter.com/SusanlLawson/status/1070812847607898112" TargetMode="External"/><Relationship Id="rId800" Type="http://schemas.openxmlformats.org/officeDocument/2006/relationships/hyperlink" Target="http://www.luztrujillo.com/" TargetMode="External"/><Relationship Id="rId1223" Type="http://schemas.openxmlformats.org/officeDocument/2006/relationships/hyperlink" Target="https://pbs.twimg.com/media/Dtrrm7CWsAoPawU.jpg" TargetMode="External"/><Relationship Id="rId1430" Type="http://schemas.openxmlformats.org/officeDocument/2006/relationships/hyperlink" Target="https://pbs.twimg.com/media/DNxrFGmW4AAKppz.jpg" TargetMode="External"/><Relationship Id="rId1528" Type="http://schemas.openxmlformats.org/officeDocument/2006/relationships/hyperlink" Target="https://pbs.twimg.com/media/DtqU1-OWoAE3cYX.jpg" TargetMode="External"/><Relationship Id="rId2053" Type="http://schemas.openxmlformats.org/officeDocument/2006/relationships/hyperlink" Target="http://pic.twitter.com/15VuANZWiW" TargetMode="External"/><Relationship Id="rId2260" Type="http://schemas.openxmlformats.org/officeDocument/2006/relationships/hyperlink" Target="https://twitter.com/Santi_ABASCAL/status/1069949221175001089" TargetMode="External"/><Relationship Id="rId2358" Type="http://schemas.openxmlformats.org/officeDocument/2006/relationships/hyperlink" Target="http://ddjerez.info/_qwkh1" TargetMode="External"/><Relationship Id="rId232" Type="http://schemas.openxmlformats.org/officeDocument/2006/relationships/hyperlink" Target="https://pbs.twimg.com/media/Dt2ZsT_XQAIzDRJ.jpg" TargetMode="External"/><Relationship Id="rId884" Type="http://schemas.openxmlformats.org/officeDocument/2006/relationships/hyperlink" Target="https://pbs.twimg.com/media/DtvPOoMUwAIPKfA.jpg" TargetMode="External"/><Relationship Id="rId1735" Type="http://schemas.openxmlformats.org/officeDocument/2006/relationships/hyperlink" Target="http://unionistasdemocrat.wix.com/udesp" TargetMode="External"/><Relationship Id="rId1942" Type="http://schemas.openxmlformats.org/officeDocument/2006/relationships/hyperlink" Target="http://www.cajinesyalbares.com/" TargetMode="External"/><Relationship Id="rId2120" Type="http://schemas.openxmlformats.org/officeDocument/2006/relationships/hyperlink" Target="https://pbs.twimg.com/media/DthkQzuW4AEL7Wa.jpg" TargetMode="External"/><Relationship Id="rId27" Type="http://schemas.openxmlformats.org/officeDocument/2006/relationships/hyperlink" Target="http://pic.twitter.com/x2YQ2k8WrQ" TargetMode="External"/><Relationship Id="rId537" Type="http://schemas.openxmlformats.org/officeDocument/2006/relationships/hyperlink" Target="https://pbs.twimg.com/media/DtzyQz_WwAAZ9r1.jpg" TargetMode="External"/><Relationship Id="rId744" Type="http://schemas.openxmlformats.org/officeDocument/2006/relationships/hyperlink" Target="https://youtu.be/S8_g6JS2z24" TargetMode="External"/><Relationship Id="rId951" Type="http://schemas.openxmlformats.org/officeDocument/2006/relationships/hyperlink" Target="http://www.padulapartners.com/" TargetMode="External"/><Relationship Id="rId1167" Type="http://schemas.openxmlformats.org/officeDocument/2006/relationships/hyperlink" Target="https://www.lavozdemiespana.es/2018/11/la-espana-del-siglo-xxii/" TargetMode="External"/><Relationship Id="rId1374" Type="http://schemas.openxmlformats.org/officeDocument/2006/relationships/hyperlink" Target="https://twitter.com/Ernesto_smria/status/1070069647393869826" TargetMode="External"/><Relationship Id="rId1581" Type="http://schemas.openxmlformats.org/officeDocument/2006/relationships/hyperlink" Target="https://okdiario.com/espana/2018/12/05/santiago-abascal-haremos-levantado-alfombras-acabar-anos-corrupcion-clientelar-andalucia-3429560?utm_campaign=ok&amp;utm_medium=Social&amp;utm_source=Twitter" TargetMode="External"/><Relationship Id="rId1679" Type="http://schemas.openxmlformats.org/officeDocument/2006/relationships/hyperlink" Target="http://pic.twitter.com/Kqn0KP7lte" TargetMode="External"/><Relationship Id="rId1802" Type="http://schemas.openxmlformats.org/officeDocument/2006/relationships/hyperlink" Target="https://www.instagram.com/p/BrACSryAvLc/?utm_source=ig_twitter_share&amp;igshid=1hthhglunnzqj" TargetMode="External"/><Relationship Id="rId2218" Type="http://schemas.openxmlformats.org/officeDocument/2006/relationships/hyperlink" Target="https://casoaislado.com/pablo-iglesias-asegura-sentir-verguenza-los-400-000-andaluces-votado-vox/" TargetMode="External"/><Relationship Id="rId80" Type="http://schemas.openxmlformats.org/officeDocument/2006/relationships/hyperlink" Target="https://www.elindependiente.com/politica/2018/12/08/euskadi-la-tierra-que-esculpio-al-lider-de-vox-santiago-abascal/?utm_source=share_buttons&amp;utm_medium=twitter&amp;utm_campaign=social_share2" TargetMode="External"/><Relationship Id="rId176" Type="http://schemas.openxmlformats.org/officeDocument/2006/relationships/hyperlink" Target="http://pic.twitter.com/BA9tUYKGZa" TargetMode="External"/><Relationship Id="rId383" Type="http://schemas.openxmlformats.org/officeDocument/2006/relationships/hyperlink" Target="http://pic.twitter.com/pqjI1SdQLG" TargetMode="External"/><Relationship Id="rId590" Type="http://schemas.openxmlformats.org/officeDocument/2006/relationships/hyperlink" Target="http://pic.twitter.com/8ve8kDO8zk" TargetMode="External"/><Relationship Id="rId604" Type="http://schemas.openxmlformats.org/officeDocument/2006/relationships/hyperlink" Target="http://hallando-y-repasando.com/" TargetMode="External"/><Relationship Id="rId811" Type="http://schemas.openxmlformats.org/officeDocument/2006/relationships/hyperlink" Target="https://youtu.be/DxmALO-ucZk" TargetMode="External"/><Relationship Id="rId1027" Type="http://schemas.openxmlformats.org/officeDocument/2006/relationships/hyperlink" Target="http://pcasevillalocal.org/" TargetMode="External"/><Relationship Id="rId1234" Type="http://schemas.openxmlformats.org/officeDocument/2006/relationships/hyperlink" Target="http://www.bitmomentum.com/" TargetMode="External"/><Relationship Id="rId1441" Type="http://schemas.openxmlformats.org/officeDocument/2006/relationships/hyperlink" Target="https://www.moncloa.com/etb-vox-yunque-iran-abascal/" TargetMode="External"/><Relationship Id="rId1886" Type="http://schemas.openxmlformats.org/officeDocument/2006/relationships/hyperlink" Target="https://pbs.twimg.com/media/Dto69WkXgAYQOtm.jpg" TargetMode="External"/><Relationship Id="rId2064" Type="http://schemas.openxmlformats.org/officeDocument/2006/relationships/hyperlink" Target="http://www.bitmomentum.com/" TargetMode="External"/><Relationship Id="rId2271" Type="http://schemas.openxmlformats.org/officeDocument/2006/relationships/hyperlink" Target="http://www.bitmomentum.com/" TargetMode="External"/><Relationship Id="rId243" Type="http://schemas.openxmlformats.org/officeDocument/2006/relationships/hyperlink" Target="https://youtu.be/RaSIX4-RPAI" TargetMode="External"/><Relationship Id="rId450" Type="http://schemas.openxmlformats.org/officeDocument/2006/relationships/hyperlink" Target="http://totbalears.com/" TargetMode="External"/><Relationship Id="rId688" Type="http://schemas.openxmlformats.org/officeDocument/2006/relationships/hyperlink" Target="https://twitter.com/daniel_portero/status/1070731813159612417" TargetMode="External"/><Relationship Id="rId895" Type="http://schemas.openxmlformats.org/officeDocument/2006/relationships/hyperlink" Target="https://www.elconfidencial.com/elecciones-andalucia/2018-12-04/santiago-abascal-canal-sur-vox_1685166/?utm_source=twitter&amp;utm_medium=social&amp;utm_campaign=BotoneraWeb" TargetMode="External"/><Relationship Id="rId909" Type="http://schemas.openxmlformats.org/officeDocument/2006/relationships/hyperlink" Target="https://sevilla.abc.es/elecciones/andalucia/sevi-origen-andalucia-santiago-abascal-subido-banco-sevilla-201812060827_noticia.html" TargetMode="External"/><Relationship Id="rId1080" Type="http://schemas.openxmlformats.org/officeDocument/2006/relationships/hyperlink" Target="https://twitter.com/Miotroyo2parte/status/1069654896159457280" TargetMode="External"/><Relationship Id="rId1301" Type="http://schemas.openxmlformats.org/officeDocument/2006/relationships/hyperlink" Target="https://pbs.twimg.com/media/DtrTbLzXcAMkOm2.jpg" TargetMode="External"/><Relationship Id="rId1539" Type="http://schemas.openxmlformats.org/officeDocument/2006/relationships/hyperlink" Target="https://pbs.twimg.com/media/DtqQo9MXgAAqODg.jpg" TargetMode="External"/><Relationship Id="rId1746" Type="http://schemas.openxmlformats.org/officeDocument/2006/relationships/hyperlink" Target="http://bit.ly/2PmHWOi" TargetMode="External"/><Relationship Id="rId1953" Type="http://schemas.openxmlformats.org/officeDocument/2006/relationships/hyperlink" Target="http://pic.twitter.com/u63Bqs9qqe" TargetMode="External"/><Relationship Id="rId2131" Type="http://schemas.openxmlformats.org/officeDocument/2006/relationships/hyperlink" Target="http://sonsolesonega.com/" TargetMode="External"/><Relationship Id="rId2369" Type="http://schemas.openxmlformats.org/officeDocument/2006/relationships/hyperlink" Target="http://www.malagahoy.es/" TargetMode="External"/><Relationship Id="rId38" Type="http://schemas.openxmlformats.org/officeDocument/2006/relationships/hyperlink" Target="https://www.youtube.com/watch?v=8wTdN74vaDM" TargetMode="External"/><Relationship Id="rId103" Type="http://schemas.openxmlformats.org/officeDocument/2006/relationships/hyperlink" Target="http://www.bitmomentum.com/" TargetMode="External"/><Relationship Id="rId310" Type="http://schemas.openxmlformats.org/officeDocument/2006/relationships/hyperlink" Target="http://elcosaco.org/" TargetMode="External"/><Relationship Id="rId548" Type="http://schemas.openxmlformats.org/officeDocument/2006/relationships/hyperlink" Target="https://open.spotify.com/track/7pBoi7yWCPzn3UjeMsGKg6?si=UvyiKJYqSweuumqcirHgzQ" TargetMode="External"/><Relationship Id="rId755" Type="http://schemas.openxmlformats.org/officeDocument/2006/relationships/hyperlink" Target="https://pbs.twimg.com/media/Dtwdg20XgAA6meB.jpg" TargetMode="External"/><Relationship Id="rId962" Type="http://schemas.openxmlformats.org/officeDocument/2006/relationships/hyperlink" Target="http://pic.twitter.com/7VuuBpqK0j" TargetMode="External"/><Relationship Id="rId1178" Type="http://schemas.openxmlformats.org/officeDocument/2006/relationships/hyperlink" Target="http://www.asivaespana.com/" TargetMode="External"/><Relationship Id="rId1385" Type="http://schemas.openxmlformats.org/officeDocument/2006/relationships/hyperlink" Target="http://ow.ly/i9aI30mS5oC" TargetMode="External"/><Relationship Id="rId1592" Type="http://schemas.openxmlformats.org/officeDocument/2006/relationships/hyperlink" Target="https://okdiario.com/espana/2018/12/05/santiago-abascal-haremos-levantado-alfombras-acabar-anos-corrupcion-clientelar-andalucia-3429560?utm_campaign=ok&amp;utm_medium=Social&amp;utm_source=Twitter" TargetMode="External"/><Relationship Id="rId1606" Type="http://schemas.openxmlformats.org/officeDocument/2006/relationships/hyperlink" Target="http://despuesymuylejos.blogspot.com/" TargetMode="External"/><Relationship Id="rId1813" Type="http://schemas.openxmlformats.org/officeDocument/2006/relationships/hyperlink" Target="http://www.masby.net/" TargetMode="External"/><Relationship Id="rId2229" Type="http://schemas.openxmlformats.org/officeDocument/2006/relationships/hyperlink" Target="http://pic.twitter.com/wlq5fXZpcG" TargetMode="External"/><Relationship Id="rId91" Type="http://schemas.openxmlformats.org/officeDocument/2006/relationships/hyperlink" Target="http://www.bitmomentum.com/" TargetMode="External"/><Relationship Id="rId187" Type="http://schemas.openxmlformats.org/officeDocument/2006/relationships/hyperlink" Target="http://www.bitmomentum.com/" TargetMode="External"/><Relationship Id="rId394" Type="http://schemas.openxmlformats.org/officeDocument/2006/relationships/hyperlink" Target="http://page.is/larevuelo53" TargetMode="External"/><Relationship Id="rId408" Type="http://schemas.openxmlformats.org/officeDocument/2006/relationships/hyperlink" Target="http://pic.twitter.com/ylAs9vnvTB" TargetMode="External"/><Relationship Id="rId615" Type="http://schemas.openxmlformats.org/officeDocument/2006/relationships/hyperlink" Target="https://pbs.twimg.com/media/Dtw_d7JW4AAeyTa.jpg" TargetMode="External"/><Relationship Id="rId822" Type="http://schemas.openxmlformats.org/officeDocument/2006/relationships/hyperlink" Target="http://pic.twitter.com/3qLHiLuJAJ" TargetMode="External"/><Relationship Id="rId1038" Type="http://schemas.openxmlformats.org/officeDocument/2006/relationships/hyperlink" Target="https://twitter.com/LateMotivCero/status/1070445209811468288" TargetMode="External"/><Relationship Id="rId1245" Type="http://schemas.openxmlformats.org/officeDocument/2006/relationships/hyperlink" Target="http://pic.twitter.com/sQQQMtGvUc" TargetMode="External"/><Relationship Id="rId1452" Type="http://schemas.openxmlformats.org/officeDocument/2006/relationships/hyperlink" Target="http://aberrandoqueesgerundio.blogspot.com.es/" TargetMode="External"/><Relationship Id="rId1897" Type="http://schemas.openxmlformats.org/officeDocument/2006/relationships/hyperlink" Target="http://www.lextres.com/" TargetMode="External"/><Relationship Id="rId2075" Type="http://schemas.openxmlformats.org/officeDocument/2006/relationships/hyperlink" Target="http://instagram.com/hugoibra10" TargetMode="External"/><Relationship Id="rId2282" Type="http://schemas.openxmlformats.org/officeDocument/2006/relationships/hyperlink" Target="https://www.elespanol.com/espana/politica/20181204/campana-firmas-ilegalizar-vox-anticonstitucional/358214954_0.html" TargetMode="External"/><Relationship Id="rId254" Type="http://schemas.openxmlformats.org/officeDocument/2006/relationships/hyperlink" Target="https://okdiario.com/espana/2018/12/07/separatistas-manipulan-foto-abascal-mostrarle-besando-tumba-franco-3440935" TargetMode="External"/><Relationship Id="rId699" Type="http://schemas.openxmlformats.org/officeDocument/2006/relationships/hyperlink" Target="http://www.last.fm/user/magodeozchuchi" TargetMode="External"/><Relationship Id="rId1091" Type="http://schemas.openxmlformats.org/officeDocument/2006/relationships/hyperlink" Target="http://pic.twitter.com/SvJriuaiZx" TargetMode="External"/><Relationship Id="rId1105" Type="http://schemas.openxmlformats.org/officeDocument/2006/relationships/hyperlink" Target="https://twitter.com/GenPenaloza/status/1070296883866857472" TargetMode="External"/><Relationship Id="rId1312" Type="http://schemas.openxmlformats.org/officeDocument/2006/relationships/hyperlink" Target="https://www.diariosur.es/nacional/primera-mentira-abascal-20181205152953-ntrc.html" TargetMode="External"/><Relationship Id="rId1757" Type="http://schemas.openxmlformats.org/officeDocument/2006/relationships/hyperlink" Target="http://www.instagram.com/roguedo" TargetMode="External"/><Relationship Id="rId1964" Type="http://schemas.openxmlformats.org/officeDocument/2006/relationships/hyperlink" Target="https://twitter.com/anarosaq/status/1070034841066983427" TargetMode="External"/><Relationship Id="rId49" Type="http://schemas.openxmlformats.org/officeDocument/2006/relationships/hyperlink" Target="https://www.atresplayer.com/antena3/programas/espejo-publico/diciembre-2018/07-12-18-mary-la-anciana-desahuciada-quieren-internarme-para-tenerme-sujeta_5c0a74307ed1a82eec49ceb6/" TargetMode="External"/><Relationship Id="rId114" Type="http://schemas.openxmlformats.org/officeDocument/2006/relationships/hyperlink" Target="http://www.malostratosfalsos.com/" TargetMode="External"/><Relationship Id="rId461" Type="http://schemas.openxmlformats.org/officeDocument/2006/relationships/hyperlink" Target="https://www.facebook.com/indaok/" TargetMode="External"/><Relationship Id="rId559" Type="http://schemas.openxmlformats.org/officeDocument/2006/relationships/hyperlink" Target="https://pbs.twimg.com/media/Dtw_d7JW4AAeyTa.jpg" TargetMode="External"/><Relationship Id="rId766" Type="http://schemas.openxmlformats.org/officeDocument/2006/relationships/hyperlink" Target="http://www.losgenoveses.net/" TargetMode="External"/><Relationship Id="rId1189" Type="http://schemas.openxmlformats.org/officeDocument/2006/relationships/hyperlink" Target="http://talcualdigital.com/index.php/2018/12/04/en-andalucia-ya-somos-un-poquito-mas-europa/" TargetMode="External"/><Relationship Id="rId1396" Type="http://schemas.openxmlformats.org/officeDocument/2006/relationships/hyperlink" Target="https://youtu.be/EdpZF3nLMF8" TargetMode="External"/><Relationship Id="rId1617" Type="http://schemas.openxmlformats.org/officeDocument/2006/relationships/hyperlink" Target="http://www.merecessaberlo.es/" TargetMode="External"/><Relationship Id="rId1824" Type="http://schemas.openxmlformats.org/officeDocument/2006/relationships/hyperlink" Target="https://youtu.be/oIMxo0mWe0Q" TargetMode="External"/><Relationship Id="rId2142" Type="http://schemas.openxmlformats.org/officeDocument/2006/relationships/hyperlink" Target="https://www.cope.es/actualidad/espana/amp/noticias/abascal-pim-pam-pum-dia-que-lider-vox-fue-golpeado-escupido-por-batasunos-20181204_304935?__twitter_impression=true" TargetMode="External"/><Relationship Id="rId198" Type="http://schemas.openxmlformats.org/officeDocument/2006/relationships/hyperlink" Target="http://www.bitmomentum.com/" TargetMode="External"/><Relationship Id="rId321" Type="http://schemas.openxmlformats.org/officeDocument/2006/relationships/hyperlink" Target="https://twitter.com/danierdecai35/status/1070800695945760768" TargetMode="External"/><Relationship Id="rId419" Type="http://schemas.openxmlformats.org/officeDocument/2006/relationships/hyperlink" Target="http://pic.twitter.com/gzSuuUTkcD" TargetMode="External"/><Relationship Id="rId626" Type="http://schemas.openxmlformats.org/officeDocument/2006/relationships/hyperlink" Target="http://pic.twitter.com/P4q16pT5Wv" TargetMode="External"/><Relationship Id="rId973" Type="http://schemas.openxmlformats.org/officeDocument/2006/relationships/hyperlink" Target="http://www.argumentopolitico.com/2016/07/grupo-de-cientificos-arabes-admite-que.html?m=1" TargetMode="External"/><Relationship Id="rId1049" Type="http://schemas.openxmlformats.org/officeDocument/2006/relationships/hyperlink" Target="https://github.com/jlruizmlg" TargetMode="External"/><Relationship Id="rId1256" Type="http://schemas.openxmlformats.org/officeDocument/2006/relationships/hyperlink" Target="http://www.lextres.com/" TargetMode="External"/><Relationship Id="rId2002" Type="http://schemas.openxmlformats.org/officeDocument/2006/relationships/hyperlink" Target="https://pbs.twimg.com/media/DtnB3bJXgAAK4TL.jpg" TargetMode="External"/><Relationship Id="rId2086" Type="http://schemas.openxmlformats.org/officeDocument/2006/relationships/hyperlink" Target="https://pbs.twimg.com/media/Dtmk_m-X4AIilVZ.jpg" TargetMode="External"/><Relationship Id="rId2307" Type="http://schemas.openxmlformats.org/officeDocument/2006/relationships/hyperlink" Target="https://www.instagram.com/diegest/" TargetMode="External"/><Relationship Id="rId833" Type="http://schemas.openxmlformats.org/officeDocument/2006/relationships/hyperlink" Target="https://twitter.com/_Lord_Roxton/status/1070623852085084160" TargetMode="External"/><Relationship Id="rId1116" Type="http://schemas.openxmlformats.org/officeDocument/2006/relationships/hyperlink" Target="http://www.facebook.com/ToninoGuitian" TargetMode="External"/><Relationship Id="rId1463" Type="http://schemas.openxmlformats.org/officeDocument/2006/relationships/hyperlink" Target="http://pic.twitter.com/Ceu3k3lmbE" TargetMode="External"/><Relationship Id="rId1670" Type="http://schemas.openxmlformats.org/officeDocument/2006/relationships/hyperlink" Target="https://pbs.twimg.com/media/DtpoR7_XQAAGiNq.jpg" TargetMode="External"/><Relationship Id="rId1768" Type="http://schemas.openxmlformats.org/officeDocument/2006/relationships/hyperlink" Target="http://www.elcheclubdefutbolsad.com/" TargetMode="External"/><Relationship Id="rId2293" Type="http://schemas.openxmlformats.org/officeDocument/2006/relationships/hyperlink" Target="https://twitter.com/josepramonbosch/status/1069958392578535424" TargetMode="External"/><Relationship Id="rId265" Type="http://schemas.openxmlformats.org/officeDocument/2006/relationships/hyperlink" Target="https://rumbored.blogspot.com.es/" TargetMode="External"/><Relationship Id="rId472" Type="http://schemas.openxmlformats.org/officeDocument/2006/relationships/hyperlink" Target="http://instagram.com/teodorovox" TargetMode="External"/><Relationship Id="rId900" Type="http://schemas.openxmlformats.org/officeDocument/2006/relationships/hyperlink" Target="https://pbs.twimg.com/media/DtvBY7GWwAEt1B6.jpg" TargetMode="External"/><Relationship Id="rId1323" Type="http://schemas.openxmlformats.org/officeDocument/2006/relationships/hyperlink" Target="https://youtu.be/2PoI1Qtn0XA" TargetMode="External"/><Relationship Id="rId1530" Type="http://schemas.openxmlformats.org/officeDocument/2006/relationships/hyperlink" Target="https://www.elindependiente.com/politica/2018/12/05/abascal-decidan-pp-cs-quien-quiren-les-pondremos-las-lineas-rojigualdas-los-deberes/?utm_source=share_buttons&amp;utm_medium=twitter&amp;utm_campaign=social_share2" TargetMode="External"/><Relationship Id="rId1628" Type="http://schemas.openxmlformats.org/officeDocument/2006/relationships/hyperlink" Target="http://es.favstar.fm/users/Lascopeta" TargetMode="External"/><Relationship Id="rId1975" Type="http://schemas.openxmlformats.org/officeDocument/2006/relationships/hyperlink" Target="http://pic.twitter.com/GUNqZWx6sq" TargetMode="External"/><Relationship Id="rId2153" Type="http://schemas.openxmlformats.org/officeDocument/2006/relationships/hyperlink" Target="http://pic.twitter.com/5W5n1QmCtP" TargetMode="External"/><Relationship Id="rId2360" Type="http://schemas.openxmlformats.org/officeDocument/2006/relationships/hyperlink" Target="http://www.diariodejerez.es/" TargetMode="External"/><Relationship Id="rId125" Type="http://schemas.openxmlformats.org/officeDocument/2006/relationships/hyperlink" Target="https://elhuron.net/category/opinion/catalina-de-erauso/" TargetMode="External"/><Relationship Id="rId332" Type="http://schemas.openxmlformats.org/officeDocument/2006/relationships/hyperlink" Target="https://okdiario.com/espana/2018/12/07/iglesias-da-razon-abascal-derecho-portar-armas-bases-democracia-3438627/amp" TargetMode="External"/><Relationship Id="rId777" Type="http://schemas.openxmlformats.org/officeDocument/2006/relationships/hyperlink" Target="http://chng.it/Fjcf7qF7" TargetMode="External"/><Relationship Id="rId984" Type="http://schemas.openxmlformats.org/officeDocument/2006/relationships/hyperlink" Target="https://pbs.twimg.com/media/DtuhgQ3WsAAXxym.jpg" TargetMode="External"/><Relationship Id="rId1835" Type="http://schemas.openxmlformats.org/officeDocument/2006/relationships/hyperlink" Target="http://www.bitmomentum.com/" TargetMode="External"/><Relationship Id="rId2013" Type="http://schemas.openxmlformats.org/officeDocument/2006/relationships/hyperlink" Target="https://twitter.com/nostraeuropa/status/1070005393961697281" TargetMode="External"/><Relationship Id="rId2220" Type="http://schemas.openxmlformats.org/officeDocument/2006/relationships/hyperlink" Target="http://www.elindependiente.com/" TargetMode="External"/><Relationship Id="rId637" Type="http://schemas.openxmlformats.org/officeDocument/2006/relationships/hyperlink" Target="https://twitter.com/CastigadorY/status/1070818127234195458" TargetMode="External"/><Relationship Id="rId844" Type="http://schemas.openxmlformats.org/officeDocument/2006/relationships/hyperlink" Target="https://www.lne.es/asturias/2018/12/04/efecto-vox-multiplica-asturias-dias/2391325.html" TargetMode="External"/><Relationship Id="rId1267" Type="http://schemas.openxmlformats.org/officeDocument/2006/relationships/hyperlink" Target="https://pbs.twimg.com/media/DtrglhTWsAIHegq.jpg" TargetMode="External"/><Relationship Id="rId1474" Type="http://schemas.openxmlformats.org/officeDocument/2006/relationships/hyperlink" Target="https://youtu.be/vCzgGgIgofk" TargetMode="External"/><Relationship Id="rId1681" Type="http://schemas.openxmlformats.org/officeDocument/2006/relationships/hyperlink" Target="http://bit.ly/2rmw7OG" TargetMode="External"/><Relationship Id="rId1902" Type="http://schemas.openxmlformats.org/officeDocument/2006/relationships/hyperlink" Target="https://pbs.twimg.com/media/DtolFl-XQAEWxel.jpg" TargetMode="External"/><Relationship Id="rId2097" Type="http://schemas.openxmlformats.org/officeDocument/2006/relationships/hyperlink" Target="http://www.google.es/" TargetMode="External"/><Relationship Id="rId2318" Type="http://schemas.openxmlformats.org/officeDocument/2006/relationships/hyperlink" Target="https://pbs.twimg.com/media/DthHfCvW0AAATDf.jpg" TargetMode="External"/><Relationship Id="rId276" Type="http://schemas.openxmlformats.org/officeDocument/2006/relationships/hyperlink" Target="https://pbs.twimg.com/media/Dt1MxtHXgAY9134.jpg" TargetMode="External"/><Relationship Id="rId483" Type="http://schemas.openxmlformats.org/officeDocument/2006/relationships/hyperlink" Target="https://www.youtube.com/channel/UCzxgc4H0oHpD_o05R7wmEAA" TargetMode="External"/><Relationship Id="rId690" Type="http://schemas.openxmlformats.org/officeDocument/2006/relationships/hyperlink" Target="https://www.aceprensa.com/articles/signer/jose-maria-sanchez-galera/" TargetMode="External"/><Relationship Id="rId704" Type="http://schemas.openxmlformats.org/officeDocument/2006/relationships/hyperlink" Target="http://pic.twitter.com/MdfwvNSZyy" TargetMode="External"/><Relationship Id="rId911" Type="http://schemas.openxmlformats.org/officeDocument/2006/relationships/hyperlink" Target="https://twitter.com/desamparadosb/status/1070659032623521792" TargetMode="External"/><Relationship Id="rId1127" Type="http://schemas.openxmlformats.org/officeDocument/2006/relationships/hyperlink" Target="http://www.bitmomentum.com/" TargetMode="External"/><Relationship Id="rId1334" Type="http://schemas.openxmlformats.org/officeDocument/2006/relationships/hyperlink" Target="https://www.elindependiente.com/politica/2018/12/05/tezanos-da-12-puntos-ventaja-al-psoe-triple-empate-pp-cs-up-deja-vox/?utm_source=share_buttons&amp;utm_medium=twitter&amp;utm_campaign=social_share" TargetMode="External"/><Relationship Id="rId1541" Type="http://schemas.openxmlformats.org/officeDocument/2006/relationships/hyperlink" Target="https://youtu.be/EdpZF3nLMF8" TargetMode="External"/><Relationship Id="rId1779" Type="http://schemas.openxmlformats.org/officeDocument/2006/relationships/hyperlink" Target="http://pic.twitter.com/4Wo5ITsFwL" TargetMode="External"/><Relationship Id="rId1986" Type="http://schemas.openxmlformats.org/officeDocument/2006/relationships/hyperlink" Target="http://www.bitmomentum.com/" TargetMode="External"/><Relationship Id="rId2164" Type="http://schemas.openxmlformats.org/officeDocument/2006/relationships/hyperlink" Target="https://pbs.twimg.com/media/DtmQiX7W4AE6t_r.jpg" TargetMode="External"/><Relationship Id="rId2371" Type="http://schemas.openxmlformats.org/officeDocument/2006/relationships/hyperlink" Target="https://pbs.twimg.com/media/DtlIYpVX4AQ0V8h.jpg" TargetMode="External"/><Relationship Id="rId40" Type="http://schemas.openxmlformats.org/officeDocument/2006/relationships/hyperlink" Target="http://eleconomista.es/" TargetMode="External"/><Relationship Id="rId136" Type="http://schemas.openxmlformats.org/officeDocument/2006/relationships/hyperlink" Target="https://pbs.twimg.com/media/Dt4dWLsX4AAtFIC.jpg" TargetMode="External"/><Relationship Id="rId343" Type="http://schemas.openxmlformats.org/officeDocument/2006/relationships/hyperlink" Target="http://pic.twitter.com/DqKPKBRHMF" TargetMode="External"/><Relationship Id="rId550" Type="http://schemas.openxmlformats.org/officeDocument/2006/relationships/hyperlink" Target="https://pbs.twimg.com/media/DtzrIoBXQAANJFj.jpg" TargetMode="External"/><Relationship Id="rId788" Type="http://schemas.openxmlformats.org/officeDocument/2006/relationships/hyperlink" Target="http://pic.twitter.com/kORW9EPm2X" TargetMode="External"/><Relationship Id="rId995" Type="http://schemas.openxmlformats.org/officeDocument/2006/relationships/hyperlink" Target="http://www.vidalizquierdo.blogspot.com/" TargetMode="External"/><Relationship Id="rId1180" Type="http://schemas.openxmlformats.org/officeDocument/2006/relationships/hyperlink" Target="http://www.leganews.es/" TargetMode="External"/><Relationship Id="rId1401" Type="http://schemas.openxmlformats.org/officeDocument/2006/relationships/hyperlink" Target="http://www.elindependiente.com/" TargetMode="External"/><Relationship Id="rId1639" Type="http://schemas.openxmlformats.org/officeDocument/2006/relationships/hyperlink" Target="https://pbs.twimg.com/media/Dtpvmu7X4AELwkt.jpg" TargetMode="External"/><Relationship Id="rId1846" Type="http://schemas.openxmlformats.org/officeDocument/2006/relationships/hyperlink" Target="http://pic.twitter.com/bOjo68zyvt" TargetMode="External"/><Relationship Id="rId2024" Type="http://schemas.openxmlformats.org/officeDocument/2006/relationships/hyperlink" Target="https://www.elmundo.es/andalucia/2018/12/04/5c0701e5fc6c83a34e8b461b.html" TargetMode="External"/><Relationship Id="rId2231" Type="http://schemas.openxmlformats.org/officeDocument/2006/relationships/hyperlink" Target="http://www.cope.es/" TargetMode="External"/><Relationship Id="rId203" Type="http://schemas.openxmlformats.org/officeDocument/2006/relationships/hyperlink" Target="http://pic.twitter.com/zqqbAcdDZO" TargetMode="External"/><Relationship Id="rId648" Type="http://schemas.openxmlformats.org/officeDocument/2006/relationships/hyperlink" Target="http://instagram.com/microarte_" TargetMode="External"/><Relationship Id="rId855" Type="http://schemas.openxmlformats.org/officeDocument/2006/relationships/hyperlink" Target="https://twitter.com/sterlingmrch/status/1070681768687210496" TargetMode="External"/><Relationship Id="rId1040" Type="http://schemas.openxmlformats.org/officeDocument/2006/relationships/hyperlink" Target="http://www.firmamentocultural.blogspot.com.es/" TargetMode="External"/><Relationship Id="rId1278" Type="http://schemas.openxmlformats.org/officeDocument/2006/relationships/hyperlink" Target="https://www.publico.es/politica/rivera-considera-irresponsable-descartar-vox-escenarios-pacto-andalucia.html" TargetMode="External"/><Relationship Id="rId1485" Type="http://schemas.openxmlformats.org/officeDocument/2006/relationships/hyperlink" Target="https://twitter.com/cadiz_carnaval/status/1070331928824434690?s=19" TargetMode="External"/><Relationship Id="rId1692" Type="http://schemas.openxmlformats.org/officeDocument/2006/relationships/hyperlink" Target="https://pbs.twimg.com/media/DtpQVtCWsAAUpI1.jpg" TargetMode="External"/><Relationship Id="rId1706" Type="http://schemas.openxmlformats.org/officeDocument/2006/relationships/hyperlink" Target="https://m.facebook.com/?_rdr" TargetMode="External"/><Relationship Id="rId1913" Type="http://schemas.openxmlformats.org/officeDocument/2006/relationships/hyperlink" Target="http://www.movimiento15m.org/" TargetMode="External"/><Relationship Id="rId2329" Type="http://schemas.openxmlformats.org/officeDocument/2006/relationships/hyperlink" Target="https://twitter.com/liberal_mirada/status/1069943199655964672" TargetMode="External"/><Relationship Id="rId287" Type="http://schemas.openxmlformats.org/officeDocument/2006/relationships/hyperlink" Target="https://pbs.twimg.com/media/Dt1xsRaWkAArp6s.jpg" TargetMode="External"/><Relationship Id="rId410" Type="http://schemas.openxmlformats.org/officeDocument/2006/relationships/hyperlink" Target="http://www.flickr.com/photos/maduroman/" TargetMode="External"/><Relationship Id="rId494" Type="http://schemas.openxmlformats.org/officeDocument/2006/relationships/hyperlink" Target="https://www.periodistadigital.com/politica/partidos-politicos/2018/12/06/el-ultra-de-extrema-izquierda-echenique-compara-a-abascal-son-torrente-y-las-redes-lo-fulminan.shtml" TargetMode="External"/><Relationship Id="rId508" Type="http://schemas.openxmlformats.org/officeDocument/2006/relationships/hyperlink" Target="https://pbs.twimg.com/media/Dt0Ad_TWkAI3tSq.jpg" TargetMode="External"/><Relationship Id="rId715" Type="http://schemas.openxmlformats.org/officeDocument/2006/relationships/hyperlink" Target="https://twitter.com/juanmafdez/status/1070794286294360066" TargetMode="External"/><Relationship Id="rId922" Type="http://schemas.openxmlformats.org/officeDocument/2006/relationships/hyperlink" Target="http://tigredigital.es/" TargetMode="External"/><Relationship Id="rId1138" Type="http://schemas.openxmlformats.org/officeDocument/2006/relationships/hyperlink" Target="http://pablo.life/" TargetMode="External"/><Relationship Id="rId1345" Type="http://schemas.openxmlformats.org/officeDocument/2006/relationships/hyperlink" Target="https://youtu.be/mu-UrNpNeS4" TargetMode="External"/><Relationship Id="rId1552" Type="http://schemas.openxmlformats.org/officeDocument/2006/relationships/hyperlink" Target="https://pbs.twimg.com/media/DtqMzwqXgAIA2sz.jpg" TargetMode="External"/><Relationship Id="rId1997" Type="http://schemas.openxmlformats.org/officeDocument/2006/relationships/hyperlink" Target="https://www.huffingtonpost.es/2018/12/04/el-duro-editorial-de-le-monde-que-no-gustara-ni-a-casado-ni-a-rivera-es-peligroso_a_23608193/?ncid=other_twitter_cooo9wqtham&amp;utm_campaign=share_twitter" TargetMode="External"/><Relationship Id="rId2175" Type="http://schemas.openxmlformats.org/officeDocument/2006/relationships/hyperlink" Target="http://albertosanzblanco.wordpress.com/" TargetMode="External"/><Relationship Id="rId2382" Type="http://schemas.openxmlformats.org/officeDocument/2006/relationships/hyperlink" Target="https://twitter.com/FalangeRotten?s=09" TargetMode="External"/><Relationship Id="rId147" Type="http://schemas.openxmlformats.org/officeDocument/2006/relationships/hyperlink" Target="https://pbs.twimg.com/media/DtggmcBW0AIR-5e.jpg" TargetMode="External"/><Relationship Id="rId354" Type="http://schemas.openxmlformats.org/officeDocument/2006/relationships/hyperlink" Target="https://pbs.twimg.com/media/Dt1S8VyWwAE-Wnv.jpg" TargetMode="External"/><Relationship Id="rId799" Type="http://schemas.openxmlformats.org/officeDocument/2006/relationships/hyperlink" Target="https://pbs.twimg.com/media/DtwBeVJWoAAAFJH.jpg" TargetMode="External"/><Relationship Id="rId1191" Type="http://schemas.openxmlformats.org/officeDocument/2006/relationships/hyperlink" Target="https://www.facebook.com/1445977115/posts/10218962565562213/" TargetMode="External"/><Relationship Id="rId1205" Type="http://schemas.openxmlformats.org/officeDocument/2006/relationships/hyperlink" Target="https://m.facebook.com/ivan.fernandezolivares.3?slog=82716&amp;seq=206906285&amp;rk=0&amp;st=user&amp;fbtype=2048&amp;re" TargetMode="External"/><Relationship Id="rId1857" Type="http://schemas.openxmlformats.org/officeDocument/2006/relationships/hyperlink" Target="http://www.letralibre.es/" TargetMode="External"/><Relationship Id="rId2035" Type="http://schemas.openxmlformats.org/officeDocument/2006/relationships/hyperlink" Target="https://pbs.twimg.com/media/Dtm5OybXgAAlxpN.jpg" TargetMode="External"/><Relationship Id="rId51" Type="http://schemas.openxmlformats.org/officeDocument/2006/relationships/hyperlink" Target="http://www.bitmomentum.com/" TargetMode="External"/><Relationship Id="rId561" Type="http://schemas.openxmlformats.org/officeDocument/2006/relationships/hyperlink" Target="http://youtu.be/vCzgGgIgofk?a" TargetMode="External"/><Relationship Id="rId659" Type="http://schemas.openxmlformats.org/officeDocument/2006/relationships/hyperlink" Target="http://www.slideshare.net/ClaraAlbaida/edit_my_uploads" TargetMode="External"/><Relationship Id="rId866" Type="http://schemas.openxmlformats.org/officeDocument/2006/relationships/hyperlink" Target="http://pic.twitter.com/Uhnb5aYgBQ" TargetMode="External"/><Relationship Id="rId1289" Type="http://schemas.openxmlformats.org/officeDocument/2006/relationships/hyperlink" Target="http://instagram.com/bidal_" TargetMode="External"/><Relationship Id="rId1412" Type="http://schemas.openxmlformats.org/officeDocument/2006/relationships/hyperlink" Target="https://pbs.twimg.com/media/DtqyjTLW0AIkK4h.jpg" TargetMode="External"/><Relationship Id="rId1496" Type="http://schemas.openxmlformats.org/officeDocument/2006/relationships/hyperlink" Target="https://pbs.twimg.com/media/DtqbxeuWkAAQVD3.jpg" TargetMode="External"/><Relationship Id="rId1717" Type="http://schemas.openxmlformats.org/officeDocument/2006/relationships/hyperlink" Target="https://www.voxespana.es/" TargetMode="External"/><Relationship Id="rId1924" Type="http://schemas.openxmlformats.org/officeDocument/2006/relationships/hyperlink" Target="https://m.facebook.com/story.php?story_fbid=2248946295129400&amp;id=885396501484393" TargetMode="External"/><Relationship Id="rId2242" Type="http://schemas.openxmlformats.org/officeDocument/2006/relationships/hyperlink" Target="https://twitter.com/PatGuerreroGo/timelines/541342867105796096" TargetMode="External"/><Relationship Id="rId214" Type="http://schemas.openxmlformats.org/officeDocument/2006/relationships/hyperlink" Target="http://favstar.fm/users/fukermix" TargetMode="External"/><Relationship Id="rId298" Type="http://schemas.openxmlformats.org/officeDocument/2006/relationships/hyperlink" Target="https://www.periodistadigital.com/periodismo/tv/2018/12/07/nueva-burla-vox-escocidito-evole-cuesta-memorable-bano-twitter-sanguijuela-santi-abascal.shtml" TargetMode="External"/><Relationship Id="rId421" Type="http://schemas.openxmlformats.org/officeDocument/2006/relationships/hyperlink" Target="https://www.periodistadigital.com/periodismo/tv/2018/12/07/nueva-burla-vox-escocidito-evole-cuesta-memorable-bano-twitter-sanguijuela-santi-abascal.shtml" TargetMode="External"/><Relationship Id="rId519" Type="http://schemas.openxmlformats.org/officeDocument/2006/relationships/hyperlink" Target="http://luisangelaguilar.blogspot.com/" TargetMode="External"/><Relationship Id="rId1051" Type="http://schemas.openxmlformats.org/officeDocument/2006/relationships/hyperlink" Target="http://pic.twitter.com/zqqbAcdDZO" TargetMode="External"/><Relationship Id="rId1149" Type="http://schemas.openxmlformats.org/officeDocument/2006/relationships/hyperlink" Target="http://pic.twitter.com/AVNsZZWEHD" TargetMode="External"/><Relationship Id="rId1356" Type="http://schemas.openxmlformats.org/officeDocument/2006/relationships/hyperlink" Target="https://m.facebook.com/joseramonfernandezgutierrez" TargetMode="External"/><Relationship Id="rId2102" Type="http://schemas.openxmlformats.org/officeDocument/2006/relationships/hyperlink" Target="https://pbs.twimg.com/media/DtlqZIPW0AAk3pV.jpg" TargetMode="External"/><Relationship Id="rId158" Type="http://schemas.openxmlformats.org/officeDocument/2006/relationships/hyperlink" Target="http://www.bitmomentum.com/" TargetMode="External"/><Relationship Id="rId726" Type="http://schemas.openxmlformats.org/officeDocument/2006/relationships/hyperlink" Target="https://pbs.twimg.com/media/DtugEMxWwAU8h7X.jpg" TargetMode="External"/><Relationship Id="rId933" Type="http://schemas.openxmlformats.org/officeDocument/2006/relationships/hyperlink" Target="http://www.aingoi.com/" TargetMode="External"/><Relationship Id="rId1009" Type="http://schemas.openxmlformats.org/officeDocument/2006/relationships/hyperlink" Target="https://twitter.com/OEquidad/status/1070608545538809856" TargetMode="External"/><Relationship Id="rId1563" Type="http://schemas.openxmlformats.org/officeDocument/2006/relationships/hyperlink" Target="https://www.telecinco.es/elprogramadeanarosa/santiago-abascal-entrevista_0_2670150013.html" TargetMode="External"/><Relationship Id="rId1770" Type="http://schemas.openxmlformats.org/officeDocument/2006/relationships/hyperlink" Target="http://joseplcardo.wix.com/joseplcardophoto" TargetMode="External"/><Relationship Id="rId1868" Type="http://schemas.openxmlformats.org/officeDocument/2006/relationships/hyperlink" Target="http://instagram.com/sannnnnnnnsan" TargetMode="External"/><Relationship Id="rId2186" Type="http://schemas.openxmlformats.org/officeDocument/2006/relationships/hyperlink" Target="https://pbs.twimg.com/media/DtmIRf3W4AA9UaY.jpg" TargetMode="External"/><Relationship Id="rId2393" Type="http://schemas.openxmlformats.org/officeDocument/2006/relationships/hyperlink" Target="https://pbs.twimg.com/media/DtlBY1uWkAArOGP.jpg" TargetMode="External"/><Relationship Id="rId62" Type="http://schemas.openxmlformats.org/officeDocument/2006/relationships/hyperlink" Target="http://www.bitmomentum.com/" TargetMode="External"/><Relationship Id="rId365" Type="http://schemas.openxmlformats.org/officeDocument/2006/relationships/hyperlink" Target="https://pbs.twimg.com/media/DtxC8OGXcAEOK1u.jpg" TargetMode="External"/><Relationship Id="rId572" Type="http://schemas.openxmlformats.org/officeDocument/2006/relationships/hyperlink" Target="http://va.newsrepublic.net/s/RYmMfY" TargetMode="External"/><Relationship Id="rId1216" Type="http://schemas.openxmlformats.org/officeDocument/2006/relationships/hyperlink" Target="https://twitter.com/jdoedoe101101/status/1070361377041195008" TargetMode="External"/><Relationship Id="rId1423" Type="http://schemas.openxmlformats.org/officeDocument/2006/relationships/hyperlink" Target="http://shr.gs/4Yk1ljg" TargetMode="External"/><Relationship Id="rId1630" Type="http://schemas.openxmlformats.org/officeDocument/2006/relationships/hyperlink" Target="http://www.voxespana.es/sevilla" TargetMode="External"/><Relationship Id="rId2046" Type="http://schemas.openxmlformats.org/officeDocument/2006/relationships/hyperlink" Target="http://www.canalsur.es/rtva/canal-sur-television-estrena-el-9-de-diciembre-todocaballo-de-la-mano-de-juan-ramon-romero/1364513.html" TargetMode="External"/><Relationship Id="rId2253" Type="http://schemas.openxmlformats.org/officeDocument/2006/relationships/hyperlink" Target="https://youtu.be/oIMxo0mWe0Q" TargetMode="External"/><Relationship Id="rId225" Type="http://schemas.openxmlformats.org/officeDocument/2006/relationships/hyperlink" Target="https://www.periodistadigital.com/periodismo/tv/2018/12/07/nueva-burla-vox-escocidito-evole-cuesta-memorable-bano-twitter-sanguijuela-santi-abascal.shtml" TargetMode="External"/><Relationship Id="rId432" Type="http://schemas.openxmlformats.org/officeDocument/2006/relationships/hyperlink" Target="https://pbs.twimg.com/media/Dt0pLl8XQAABysq.jpg" TargetMode="External"/><Relationship Id="rId877" Type="http://schemas.openxmlformats.org/officeDocument/2006/relationships/hyperlink" Target="https://twitter.com/alwaysfree86/status/1070299080906211329?s=19" TargetMode="External"/><Relationship Id="rId1062" Type="http://schemas.openxmlformats.org/officeDocument/2006/relationships/hyperlink" Target="http://pasionxespa&#241;a.es/" TargetMode="External"/><Relationship Id="rId1728" Type="http://schemas.openxmlformats.org/officeDocument/2006/relationships/hyperlink" Target="https://www.mediterraneodigital.com/espana/nacional/santiago-abascal-en-el-programa-de-ar-somos-un-partido-de-extrema-necesidad.html" TargetMode="External"/><Relationship Id="rId1935" Type="http://schemas.openxmlformats.org/officeDocument/2006/relationships/hyperlink" Target="http://www.bitmomentum.com/" TargetMode="External"/><Relationship Id="rId2113" Type="http://schemas.openxmlformats.org/officeDocument/2006/relationships/hyperlink" Target="https://pbs.twimg.com/media/Dtmd3jKW0AAQuSd.jpg" TargetMode="External"/><Relationship Id="rId2320" Type="http://schemas.openxmlformats.org/officeDocument/2006/relationships/hyperlink" Target="http://www.psoe.es/" TargetMode="External"/><Relationship Id="rId737" Type="http://schemas.openxmlformats.org/officeDocument/2006/relationships/hyperlink" Target="http://pic.twitter.com/8IZXjBrgWd" TargetMode="External"/><Relationship Id="rId944" Type="http://schemas.openxmlformats.org/officeDocument/2006/relationships/hyperlink" Target="http://pic.twitter.com/kORW9EPm2X" TargetMode="External"/><Relationship Id="rId1367" Type="http://schemas.openxmlformats.org/officeDocument/2006/relationships/hyperlink" Target="http://www.spandalucia.com/" TargetMode="External"/><Relationship Id="rId1574" Type="http://schemas.openxmlformats.org/officeDocument/2006/relationships/hyperlink" Target="https://okdiario.com/opinion/2018/12/05/hasta-donde-va-llegar-esta-campana-acoso-3429149" TargetMode="External"/><Relationship Id="rId1781" Type="http://schemas.openxmlformats.org/officeDocument/2006/relationships/hyperlink" Target="https://pbs.twimg.com/media/DtpNO7iW4AAc9AM.jpg" TargetMode="External"/><Relationship Id="rId2197" Type="http://schemas.openxmlformats.org/officeDocument/2006/relationships/hyperlink" Target="http://paypal.me/lexufistro" TargetMode="External"/><Relationship Id="rId73" Type="http://schemas.openxmlformats.org/officeDocument/2006/relationships/hyperlink" Target="https://youtu.be/jqF0_n_VVWQ" TargetMode="External"/><Relationship Id="rId169" Type="http://schemas.openxmlformats.org/officeDocument/2006/relationships/hyperlink" Target="https://pbs.twimg.com/media/Dt353_AWwAE3Osb.jpg" TargetMode="External"/><Relationship Id="rId376" Type="http://schemas.openxmlformats.org/officeDocument/2006/relationships/hyperlink" Target="http://antonioromansanchezrodriguez.blogspot.com.es/" TargetMode="External"/><Relationship Id="rId583" Type="http://schemas.openxmlformats.org/officeDocument/2006/relationships/hyperlink" Target="https://pbs.twimg.com/media/DtzX7axWkAAs1wI.jpg" TargetMode="External"/><Relationship Id="rId790" Type="http://schemas.openxmlformats.org/officeDocument/2006/relationships/hyperlink" Target="https://www.nuevatribuna.es/opinion/ramon-hdez-de-avila/contradicciones-facha/20181205140324158167.html" TargetMode="External"/><Relationship Id="rId804" Type="http://schemas.openxmlformats.org/officeDocument/2006/relationships/hyperlink" Target="https://twitter.com/BenemeritosGC/status/1070687451067371520" TargetMode="External"/><Relationship Id="rId1227" Type="http://schemas.openxmlformats.org/officeDocument/2006/relationships/hyperlink" Target="http://meineweltlebenundich.wordpress.com/" TargetMode="External"/><Relationship Id="rId1434" Type="http://schemas.openxmlformats.org/officeDocument/2006/relationships/hyperlink" Target="https://twitter.com/AuradeCristal87/status/1069935512427876352" TargetMode="External"/><Relationship Id="rId1641" Type="http://schemas.openxmlformats.org/officeDocument/2006/relationships/hyperlink" Target="https://www.facebook.com/pages/Espa%C3%B1oles-y-Venezolanos-Anti-Podemos/885396501484393?sk=timeline" TargetMode="External"/><Relationship Id="rId1879" Type="http://schemas.openxmlformats.org/officeDocument/2006/relationships/hyperlink" Target="https://twitter.com/marubimo/status/1070013194150862853" TargetMode="External"/><Relationship Id="rId2057" Type="http://schemas.openxmlformats.org/officeDocument/2006/relationships/hyperlink" Target="http://pic.twitter.com/s6RJwn9LY9" TargetMode="External"/><Relationship Id="rId2264" Type="http://schemas.openxmlformats.org/officeDocument/2006/relationships/hyperlink" Target="http://publicidosis.wordpress.com/" TargetMode="External"/><Relationship Id="rId4" Type="http://schemas.openxmlformats.org/officeDocument/2006/relationships/hyperlink" Target="http://www.sevillainfo.es/" TargetMode="External"/><Relationship Id="rId236" Type="http://schemas.openxmlformats.org/officeDocument/2006/relationships/hyperlink" Target="http://prnoticias.com/periodismo/periodismo-pr/20171042-periodista-canal-sur-deja-evidencia-santiago-abascal" TargetMode="External"/><Relationship Id="rId443" Type="http://schemas.openxmlformats.org/officeDocument/2006/relationships/hyperlink" Target="http://www.periodistadigital.com/" TargetMode="External"/><Relationship Id="rId650" Type="http://schemas.openxmlformats.org/officeDocument/2006/relationships/hyperlink" Target="https://pbs.twimg.com/media/DtxTkOoWwAAZP7Z.jpg" TargetMode="External"/><Relationship Id="rId888" Type="http://schemas.openxmlformats.org/officeDocument/2006/relationships/hyperlink" Target="https://pbs.twimg.com/media/DtvLOYAXgAEACS_.jpg" TargetMode="External"/><Relationship Id="rId1073" Type="http://schemas.openxmlformats.org/officeDocument/2006/relationships/hyperlink" Target="https://www.twitch.tv/x_xviking" TargetMode="External"/><Relationship Id="rId1280" Type="http://schemas.openxmlformats.org/officeDocument/2006/relationships/hyperlink" Target="https://www.mediterraneodigital.com/espana/politica/vox-exige-devolver-sanidad-y-educacion-al-estado-la-unica-nacion-en-espana.html" TargetMode="External"/><Relationship Id="rId1501" Type="http://schemas.openxmlformats.org/officeDocument/2006/relationships/hyperlink" Target="https://www.telecinco.es/elprogramadeanarosa/entrevista-completa-lider-vox_2_2670180051.html" TargetMode="External"/><Relationship Id="rId1739" Type="http://schemas.openxmlformats.org/officeDocument/2006/relationships/hyperlink" Target="https://okdiario.com/espana/2018/12/04/santiago-abascal-exigiremos-cierre-canal-sur-3423832" TargetMode="External"/><Relationship Id="rId1946" Type="http://schemas.openxmlformats.org/officeDocument/2006/relationships/hyperlink" Target="https://www.facebook.com/ANTPODEMOS/videos/268745047327764/" TargetMode="External"/><Relationship Id="rId2124" Type="http://schemas.openxmlformats.org/officeDocument/2006/relationships/hyperlink" Target="http://voxespana.es/madrid" TargetMode="External"/><Relationship Id="rId2331" Type="http://schemas.openxmlformats.org/officeDocument/2006/relationships/hyperlink" Target="https://twitter.com/JuanmiMrtnz/status/1069969805032198152" TargetMode="External"/><Relationship Id="rId303" Type="http://schemas.openxmlformats.org/officeDocument/2006/relationships/hyperlink" Target="https://twitter.com/LaLupaJudicial/status/1071119003307966464" TargetMode="External"/><Relationship Id="rId748" Type="http://schemas.openxmlformats.org/officeDocument/2006/relationships/hyperlink" Target="https://www.periodistadigital.com/politica/partidos-politicos/2018/12/06/el-ultra-de-extrema-izquierda-echenique-compara-a-abascal-son-torrente-y-las-redes-lo-fulminan.shtml" TargetMode="External"/><Relationship Id="rId955" Type="http://schemas.openxmlformats.org/officeDocument/2006/relationships/hyperlink" Target="https://pbs.twimg.com/media/Dtusl5tX4AAb0k2.jpg" TargetMode="External"/><Relationship Id="rId1140" Type="http://schemas.openxmlformats.org/officeDocument/2006/relationships/hyperlink" Target="http://cesarvidal.com/" TargetMode="External"/><Relationship Id="rId1378" Type="http://schemas.openxmlformats.org/officeDocument/2006/relationships/hyperlink" Target="https://www.elplural.com/politica/santiago-abascal-carga-contra-elplural-com_207637102" TargetMode="External"/><Relationship Id="rId1585" Type="http://schemas.openxmlformats.org/officeDocument/2006/relationships/hyperlink" Target="http://www.elindependiente.com/" TargetMode="External"/><Relationship Id="rId1792" Type="http://schemas.openxmlformats.org/officeDocument/2006/relationships/hyperlink" Target="http://www.telecinco.es/elprogramadeanarosa" TargetMode="External"/><Relationship Id="rId1806" Type="http://schemas.openxmlformats.org/officeDocument/2006/relationships/hyperlink" Target="https://planetacb.com/" TargetMode="External"/><Relationship Id="rId84" Type="http://schemas.openxmlformats.org/officeDocument/2006/relationships/hyperlink" Target="https://www.facebook.com/Rebuznometro" TargetMode="External"/><Relationship Id="rId387" Type="http://schemas.openxmlformats.org/officeDocument/2006/relationships/hyperlink" Target="https://pbs.twimg.com/media/Dt08ozPXQAEn5S2.jpg" TargetMode="External"/><Relationship Id="rId510" Type="http://schemas.openxmlformats.org/officeDocument/2006/relationships/hyperlink" Target="https://pbs.twimg.com/media/Dtz97yXW4AAGQcj.jpg" TargetMode="External"/><Relationship Id="rId594" Type="http://schemas.openxmlformats.org/officeDocument/2006/relationships/hyperlink" Target="https://twitter.com/arturelpayaso2/status/1070703901127651329" TargetMode="External"/><Relationship Id="rId608" Type="http://schemas.openxmlformats.org/officeDocument/2006/relationships/hyperlink" Target="https://www.diaribalear.es/" TargetMode="External"/><Relationship Id="rId815" Type="http://schemas.openxmlformats.org/officeDocument/2006/relationships/hyperlink" Target="http://elpais.com/autor/jose_marcos/a" TargetMode="External"/><Relationship Id="rId1238" Type="http://schemas.openxmlformats.org/officeDocument/2006/relationships/hyperlink" Target="http://www.comunideas.com/" TargetMode="External"/><Relationship Id="rId1445" Type="http://schemas.openxmlformats.org/officeDocument/2006/relationships/hyperlink" Target="http://flightradar24.com/" TargetMode="External"/><Relationship Id="rId1652" Type="http://schemas.openxmlformats.org/officeDocument/2006/relationships/hyperlink" Target="http://elrincndedonnadie.blogspot.com/" TargetMode="External"/><Relationship Id="rId2068" Type="http://schemas.openxmlformats.org/officeDocument/2006/relationships/hyperlink" Target="https://pbs.twimg.com/media/DtmpqzSWsAUIdFi.jpg" TargetMode="External"/><Relationship Id="rId2275" Type="http://schemas.openxmlformats.org/officeDocument/2006/relationships/hyperlink" Target="http://ww.cope.es/h6l43" TargetMode="External"/><Relationship Id="rId247" Type="http://schemas.openxmlformats.org/officeDocument/2006/relationships/hyperlink" Target="https://www.libertaddigital.com/opinion/santiago-abascal/pablo-el-infierno-mismo-78791/" TargetMode="External"/><Relationship Id="rId899" Type="http://schemas.openxmlformats.org/officeDocument/2006/relationships/hyperlink" Target="https://twitter.com/HispaniaSpain/status/1070661984629202944" TargetMode="External"/><Relationship Id="rId1000" Type="http://schemas.openxmlformats.org/officeDocument/2006/relationships/hyperlink" Target="http://www.linkedin.com/pub/david-alonso-garcia/79/5b0/333" TargetMode="External"/><Relationship Id="rId1084" Type="http://schemas.openxmlformats.org/officeDocument/2006/relationships/hyperlink" Target="http://www.periodistadigital.com/" TargetMode="External"/><Relationship Id="rId1305" Type="http://schemas.openxmlformats.org/officeDocument/2006/relationships/hyperlink" Target="http://dom.cat/5br" TargetMode="External"/><Relationship Id="rId1957" Type="http://schemas.openxmlformats.org/officeDocument/2006/relationships/hyperlink" Target="http://www.bitmomentum.com/" TargetMode="External"/><Relationship Id="rId107" Type="http://schemas.openxmlformats.org/officeDocument/2006/relationships/hyperlink" Target="https://pbs.twimg.com/media/Dtw_d7JW4AAeyTa.jpg" TargetMode="External"/><Relationship Id="rId454" Type="http://schemas.openxmlformats.org/officeDocument/2006/relationships/hyperlink" Target="http://pic.twitter.com/UIdTtDmwTK" TargetMode="External"/><Relationship Id="rId661" Type="http://schemas.openxmlformats.org/officeDocument/2006/relationships/hyperlink" Target="https://pbs.twimg.com/media/DtxZiFuXcAEapST.jpg" TargetMode="External"/><Relationship Id="rId759" Type="http://schemas.openxmlformats.org/officeDocument/2006/relationships/hyperlink" Target="http://page.is/monnissima" TargetMode="External"/><Relationship Id="rId966" Type="http://schemas.openxmlformats.org/officeDocument/2006/relationships/hyperlink" Target="https://youtu.be/EdpZF3nLMF8" TargetMode="External"/><Relationship Id="rId1291" Type="http://schemas.openxmlformats.org/officeDocument/2006/relationships/hyperlink" Target="http://rubensanchez.tw/" TargetMode="External"/><Relationship Id="rId1389" Type="http://schemas.openxmlformats.org/officeDocument/2006/relationships/hyperlink" Target="https://okdiario.com/espana/2018/12/05/twitter-censura-numero-1-vox-andalucia-cierra-cuenta-del-juez-serrano-exito-electoral-3432722" TargetMode="External"/><Relationship Id="rId1512" Type="http://schemas.openxmlformats.org/officeDocument/2006/relationships/hyperlink" Target="https://twitter.com/Duelelab/status/1070122002109947907" TargetMode="External"/><Relationship Id="rId1596" Type="http://schemas.openxmlformats.org/officeDocument/2006/relationships/hyperlink" Target="http://youtu.be/vCzgGgIgofk?a" TargetMode="External"/><Relationship Id="rId1817" Type="http://schemas.openxmlformats.org/officeDocument/2006/relationships/hyperlink" Target="http://abccordoba.es/" TargetMode="External"/><Relationship Id="rId2135" Type="http://schemas.openxmlformats.org/officeDocument/2006/relationships/hyperlink" Target="http://pic.twitter.com/qHHJkRC6XP" TargetMode="External"/><Relationship Id="rId2342" Type="http://schemas.openxmlformats.org/officeDocument/2006/relationships/hyperlink" Target="https://pbs.twimg.com/media/DtlJwIkWoAEQ6pc.jpg" TargetMode="External"/><Relationship Id="rId11" Type="http://schemas.openxmlformats.org/officeDocument/2006/relationships/hyperlink" Target="https://www.linkedin.com/in/amin-lejarza-essalhi-601bb3a7/" TargetMode="External"/><Relationship Id="rId314" Type="http://schemas.openxmlformats.org/officeDocument/2006/relationships/hyperlink" Target="https://pbs.twimg.com/media/Dt1k4VaWoAI3Qwo.jpg" TargetMode="External"/><Relationship Id="rId398" Type="http://schemas.openxmlformats.org/officeDocument/2006/relationships/hyperlink" Target="http://pic.twitter.com/JNOIm4oxA8" TargetMode="External"/><Relationship Id="rId521" Type="http://schemas.openxmlformats.org/officeDocument/2006/relationships/hyperlink" Target="http://limaldita.wordpress.com/" TargetMode="External"/><Relationship Id="rId619" Type="http://schemas.openxmlformats.org/officeDocument/2006/relationships/hyperlink" Target="http://pic.twitter.com/QvEbc7Ppex" TargetMode="External"/><Relationship Id="rId1151" Type="http://schemas.openxmlformats.org/officeDocument/2006/relationships/hyperlink" Target="http://cukecito.blogspot.com/" TargetMode="External"/><Relationship Id="rId1249" Type="http://schemas.openxmlformats.org/officeDocument/2006/relationships/hyperlink" Target="https://instagram.com/dreuuge/" TargetMode="External"/><Relationship Id="rId2079" Type="http://schemas.openxmlformats.org/officeDocument/2006/relationships/hyperlink" Target="https://pbs.twimg.com/media/DtmmAWHXgAIoAJs.jpg" TargetMode="External"/><Relationship Id="rId2202" Type="http://schemas.openxmlformats.org/officeDocument/2006/relationships/hyperlink" Target="https://bit.ly/2rhvEgw" TargetMode="External"/><Relationship Id="rId95" Type="http://schemas.openxmlformats.org/officeDocument/2006/relationships/hyperlink" Target="https://youtu.be/RaSIX4-RPAI" TargetMode="External"/><Relationship Id="rId160" Type="http://schemas.openxmlformats.org/officeDocument/2006/relationships/hyperlink" Target="http://www.elindependiente.com/" TargetMode="External"/><Relationship Id="rId826" Type="http://schemas.openxmlformats.org/officeDocument/2006/relationships/hyperlink" Target="https://pbs.twimg.com/media/DtvwP-6WwAM0hv3.jpg" TargetMode="External"/><Relationship Id="rId1011" Type="http://schemas.openxmlformats.org/officeDocument/2006/relationships/hyperlink" Target="https://twitter.com/marubimo/status/1070032559973851136" TargetMode="External"/><Relationship Id="rId1109" Type="http://schemas.openxmlformats.org/officeDocument/2006/relationships/hyperlink" Target="http://www.bitmomentum.com/" TargetMode="External"/><Relationship Id="rId1456" Type="http://schemas.openxmlformats.org/officeDocument/2006/relationships/hyperlink" Target="http://www.pixelillo.com/" TargetMode="External"/><Relationship Id="rId1663" Type="http://schemas.openxmlformats.org/officeDocument/2006/relationships/hyperlink" Target="https://twitter.com/WharfRat_DE/status/1070281960382234625" TargetMode="External"/><Relationship Id="rId1870" Type="http://schemas.openxmlformats.org/officeDocument/2006/relationships/hyperlink" Target="https://www.diaribalear.es/" TargetMode="External"/><Relationship Id="rId1968" Type="http://schemas.openxmlformats.org/officeDocument/2006/relationships/hyperlink" Target="https://youtu.be/vCzgGgIgofk" TargetMode="External"/><Relationship Id="rId2286" Type="http://schemas.openxmlformats.org/officeDocument/2006/relationships/hyperlink" Target="https://pbs.twimg.com/media/Dtlhfv-X4AE2_Wg.jpg" TargetMode="External"/><Relationship Id="rId258" Type="http://schemas.openxmlformats.org/officeDocument/2006/relationships/hyperlink" Target="http://www.casoaislado.com/" TargetMode="External"/><Relationship Id="rId465" Type="http://schemas.openxmlformats.org/officeDocument/2006/relationships/hyperlink" Target="https://itunes.apple.com/album/deep-throat-ep/id981156615?l=en" TargetMode="External"/><Relationship Id="rId672" Type="http://schemas.openxmlformats.org/officeDocument/2006/relationships/hyperlink" Target="https://twitter.com/31EneroTercios/status/1070650736843915264" TargetMode="External"/><Relationship Id="rId1095" Type="http://schemas.openxmlformats.org/officeDocument/2006/relationships/hyperlink" Target="https://www.libertaddigital.com/espana/politica/2018-12-06/cinco-mitos-electorales-que-se-han-hecho-anicos-en-andalucia-1276629464/" TargetMode="External"/><Relationship Id="rId1316" Type="http://schemas.openxmlformats.org/officeDocument/2006/relationships/hyperlink" Target="http://directoalmentonjosequijadarubira.blogspot.com.es/" TargetMode="External"/><Relationship Id="rId1523" Type="http://schemas.openxmlformats.org/officeDocument/2006/relationships/hyperlink" Target="https://youtu.be/8z8I0m8DP-Q" TargetMode="External"/><Relationship Id="rId1730" Type="http://schemas.openxmlformats.org/officeDocument/2006/relationships/hyperlink" Target="https://www.moncloa.com/etb-vox-yunque-iran-abascal/" TargetMode="External"/><Relationship Id="rId2146" Type="http://schemas.openxmlformats.org/officeDocument/2006/relationships/hyperlink" Target="http://www.losotros18.com/liga-bbva/malaga/" TargetMode="External"/><Relationship Id="rId2353" Type="http://schemas.openxmlformats.org/officeDocument/2006/relationships/hyperlink" Target="https://pbs.twimg.com/media/DtlIY3sWkAE_aEN.jpg" TargetMode="External"/><Relationship Id="rId22" Type="http://schemas.openxmlformats.org/officeDocument/2006/relationships/hyperlink" Target="https://twitter.com/danierdecai35/status/1070800695945760768" TargetMode="External"/><Relationship Id="rId118" Type="http://schemas.openxmlformats.org/officeDocument/2006/relationships/hyperlink" Target="http://pic.twitter.com/5Rv54qxvWB" TargetMode="External"/><Relationship Id="rId325" Type="http://schemas.openxmlformats.org/officeDocument/2006/relationships/hyperlink" Target="https://pbs.twimg.com/media/Dt1h7zxXQAYkYUw.jpg" TargetMode="External"/><Relationship Id="rId532" Type="http://schemas.openxmlformats.org/officeDocument/2006/relationships/hyperlink" Target="http://bit.ly/2AZa0C1" TargetMode="External"/><Relationship Id="rId977" Type="http://schemas.openxmlformats.org/officeDocument/2006/relationships/hyperlink" Target="http://pic.twitter.com/sQQQMtGvUc" TargetMode="External"/><Relationship Id="rId1162" Type="http://schemas.openxmlformats.org/officeDocument/2006/relationships/hyperlink" Target="https://m.youtube.com/watch?v=oIMxo0mWe0Q" TargetMode="External"/><Relationship Id="rId1828" Type="http://schemas.openxmlformats.org/officeDocument/2006/relationships/hyperlink" Target="https://twitter.com/JuanitoLibritos/status/1069547964778057729" TargetMode="External"/><Relationship Id="rId2006" Type="http://schemas.openxmlformats.org/officeDocument/2006/relationships/hyperlink" Target="https://www.youtube.com/watch?v=S8_g6JS2z24" TargetMode="External"/><Relationship Id="rId2213" Type="http://schemas.openxmlformats.org/officeDocument/2006/relationships/hyperlink" Target="https://www.fcbarcelona.es/" TargetMode="External"/><Relationship Id="rId171" Type="http://schemas.openxmlformats.org/officeDocument/2006/relationships/hyperlink" Target="http://lrzn.es/alfz75" TargetMode="External"/><Relationship Id="rId837" Type="http://schemas.openxmlformats.org/officeDocument/2006/relationships/hyperlink" Target="http://i.instagram.com/javifuentes99/" TargetMode="External"/><Relationship Id="rId1022" Type="http://schemas.openxmlformats.org/officeDocument/2006/relationships/hyperlink" Target="https://www.elplural.com/politica/santiago-abascal-carga-contra-elplural-com_207637102" TargetMode="External"/><Relationship Id="rId1467" Type="http://schemas.openxmlformats.org/officeDocument/2006/relationships/hyperlink" Target="http://bitly.is/2E3iAmE" TargetMode="External"/><Relationship Id="rId1674" Type="http://schemas.openxmlformats.org/officeDocument/2006/relationships/hyperlink" Target="http://pic.twitter.com/mvxwbtYmPa" TargetMode="External"/><Relationship Id="rId1881" Type="http://schemas.openxmlformats.org/officeDocument/2006/relationships/hyperlink" Target="http://devocionmadridista.blogspot.com/" TargetMode="External"/><Relationship Id="rId2297" Type="http://schemas.openxmlformats.org/officeDocument/2006/relationships/hyperlink" Target="https://twitter.com/santi_abascal/status/1069722798074068992" TargetMode="External"/><Relationship Id="rId269" Type="http://schemas.openxmlformats.org/officeDocument/2006/relationships/hyperlink" Target="https://pbs.twimg.com/media/Dt19eLeWsAE_ykf.jpg" TargetMode="External"/><Relationship Id="rId476" Type="http://schemas.openxmlformats.org/officeDocument/2006/relationships/hyperlink" Target="https://twitter.com/Bcnisnotcat_/status/1070801745968852992" TargetMode="External"/><Relationship Id="rId683" Type="http://schemas.openxmlformats.org/officeDocument/2006/relationships/hyperlink" Target="https://twitter.com/sterlingmrch/status/1070681768687210496" TargetMode="External"/><Relationship Id="rId890" Type="http://schemas.openxmlformats.org/officeDocument/2006/relationships/hyperlink" Target="https://twitter.com/InesArrimadas/status/1070410382139891714" TargetMode="External"/><Relationship Id="rId904" Type="http://schemas.openxmlformats.org/officeDocument/2006/relationships/hyperlink" Target="http://pic.twitter.com/jkR7lBE4GT" TargetMode="External"/><Relationship Id="rId1327" Type="http://schemas.openxmlformats.org/officeDocument/2006/relationships/hyperlink" Target="http://cineypolitica.blogspot.com.es/" TargetMode="External"/><Relationship Id="rId1534" Type="http://schemas.openxmlformats.org/officeDocument/2006/relationships/hyperlink" Target="https://pbs.twimg.com/media/DtnH9uqXQAEf6wH.jpg" TargetMode="External"/><Relationship Id="rId1741" Type="http://schemas.openxmlformats.org/officeDocument/2006/relationships/hyperlink" Target="https://pbs.twimg.com/media/DtpU7jLXgAAM44r.jpg" TargetMode="External"/><Relationship Id="rId1979" Type="http://schemas.openxmlformats.org/officeDocument/2006/relationships/hyperlink" Target="https://pbs.twimg.com/media/DtnrElnVAAAdG3n.jpg" TargetMode="External"/><Relationship Id="rId2157" Type="http://schemas.openxmlformats.org/officeDocument/2006/relationships/hyperlink" Target="http://www.aloeforever.info/" TargetMode="External"/><Relationship Id="rId2364" Type="http://schemas.openxmlformats.org/officeDocument/2006/relationships/hyperlink" Target="http://eusur.info/4pzo01" TargetMode="External"/><Relationship Id="rId33" Type="http://schemas.openxmlformats.org/officeDocument/2006/relationships/hyperlink" Target="https://www.libertaddigital.com/espana/2018-12-08/tambores-de-guerra-separatistas-torra-y-puigdemont-anuncian-un-choque-inminente-1276629580/" TargetMode="External"/><Relationship Id="rId129" Type="http://schemas.openxmlformats.org/officeDocument/2006/relationships/hyperlink" Target="https://twitter.com/JavierLezaola/status/1071064865362640897" TargetMode="External"/><Relationship Id="rId336" Type="http://schemas.openxmlformats.org/officeDocument/2006/relationships/hyperlink" Target="https://twitter.com/Miotroyo2parte/status/1070994564868128769" TargetMode="External"/><Relationship Id="rId543" Type="http://schemas.openxmlformats.org/officeDocument/2006/relationships/hyperlink" Target="https://twitter.com/cristinasegui_/status/1070444374058823681" TargetMode="External"/><Relationship Id="rId988" Type="http://schemas.openxmlformats.org/officeDocument/2006/relationships/hyperlink" Target="https://pbs.twimg.com/media/Dtp6zYEWsAAWw_X.jpg" TargetMode="External"/><Relationship Id="rId1173" Type="http://schemas.openxmlformats.org/officeDocument/2006/relationships/hyperlink" Target="https://www.youtube.com/watch?v=EdpZF3nLMF8" TargetMode="External"/><Relationship Id="rId1380" Type="http://schemas.openxmlformats.org/officeDocument/2006/relationships/hyperlink" Target="https://twitter.com/ehbilducongreso/status/1070286472706703360" TargetMode="External"/><Relationship Id="rId1601" Type="http://schemas.openxmlformats.org/officeDocument/2006/relationships/hyperlink" Target="https://pbs.twimg.com/media/Dtp7wI8WsAAHL-j.jpg" TargetMode="External"/><Relationship Id="rId1839" Type="http://schemas.openxmlformats.org/officeDocument/2006/relationships/hyperlink" Target="https://pbs.twimg.com/media/DtpBu1wX4AASkPd.jpg" TargetMode="External"/><Relationship Id="rId2017" Type="http://schemas.openxmlformats.org/officeDocument/2006/relationships/hyperlink" Target="https://pbs.twimg.com/media/Dtm9KZuXcAAcOQy.jpg" TargetMode="External"/><Relationship Id="rId2224" Type="http://schemas.openxmlformats.org/officeDocument/2006/relationships/hyperlink" Target="https://twitter.com/Santi_ABASCAL/status/1069949221175001089" TargetMode="External"/><Relationship Id="rId182" Type="http://schemas.openxmlformats.org/officeDocument/2006/relationships/hyperlink" Target="http://www.bitmomentum.com/" TargetMode="External"/><Relationship Id="rId403" Type="http://schemas.openxmlformats.org/officeDocument/2006/relationships/hyperlink" Target="https://www.instagram.com/p/BrFzI59F0q0/?utm_source=ig_twitter_share&amp;igshid=1kruyeo0bp4md" TargetMode="External"/><Relationship Id="rId750" Type="http://schemas.openxmlformats.org/officeDocument/2006/relationships/hyperlink" Target="http://youranonnews.tumblr.com/" TargetMode="External"/><Relationship Id="rId848" Type="http://schemas.openxmlformats.org/officeDocument/2006/relationships/hyperlink" Target="https://www.diariosur.es/elecciones/andaluzas/exige-cerrar-canal-20181206132616-nt.html" TargetMode="External"/><Relationship Id="rId1033" Type="http://schemas.openxmlformats.org/officeDocument/2006/relationships/hyperlink" Target="http://pic.twitter.com/jqwvWmvPp3" TargetMode="External"/><Relationship Id="rId1478" Type="http://schemas.openxmlformats.org/officeDocument/2006/relationships/hyperlink" Target="http://www.voxespana.es/" TargetMode="External"/><Relationship Id="rId1685" Type="http://schemas.openxmlformats.org/officeDocument/2006/relationships/hyperlink" Target="http://www.eitb.eus/es/television/programas/en-jake/" TargetMode="External"/><Relationship Id="rId1892" Type="http://schemas.openxmlformats.org/officeDocument/2006/relationships/hyperlink" Target="https://www.cope.es/n/304935" TargetMode="External"/><Relationship Id="rId1906" Type="http://schemas.openxmlformats.org/officeDocument/2006/relationships/hyperlink" Target="http://lavoz.gal/aatkt2" TargetMode="External"/><Relationship Id="rId487" Type="http://schemas.openxmlformats.org/officeDocument/2006/relationships/hyperlink" Target="https://pbs.twimg.com/media/Dt0PTCLWwAAUKmH.jpg" TargetMode="External"/><Relationship Id="rId610" Type="http://schemas.openxmlformats.org/officeDocument/2006/relationships/hyperlink" Target="https://pbs.twimg.com/media/Dtw_d7JW4AAeyTa.jpg" TargetMode="External"/><Relationship Id="rId694" Type="http://schemas.openxmlformats.org/officeDocument/2006/relationships/hyperlink" Target="https://www.libertaddigital.com/opinion/santiago-abascal/pablo-el-infierno-mismo-78791/" TargetMode="External"/><Relationship Id="rId708" Type="http://schemas.openxmlformats.org/officeDocument/2006/relationships/hyperlink" Target="https://youtu.be/RaSIX4-RPAI" TargetMode="External"/><Relationship Id="rId915" Type="http://schemas.openxmlformats.org/officeDocument/2006/relationships/hyperlink" Target="http://pic.twitter.com/fB2D5SIIxU" TargetMode="External"/><Relationship Id="rId1240" Type="http://schemas.openxmlformats.org/officeDocument/2006/relationships/hyperlink" Target="https://pbs.twimg.com/media/Dtrny1qWsAMIQfW.jpg" TargetMode="External"/><Relationship Id="rId1338" Type="http://schemas.openxmlformats.org/officeDocument/2006/relationships/hyperlink" Target="https://biolovulpes.wordpress.com/" TargetMode="External"/><Relationship Id="rId1545" Type="http://schemas.openxmlformats.org/officeDocument/2006/relationships/hyperlink" Target="http://pic.twitter.com/VtyshPhNNi" TargetMode="External"/><Relationship Id="rId2070" Type="http://schemas.openxmlformats.org/officeDocument/2006/relationships/hyperlink" Target="https://www.esdiario.com/431754091/Vox-deja-en-la-calle-al-equipo-de-La-Sexta-que-habia-mandado-Ferreras-a-su-hotel.html" TargetMode="External"/><Relationship Id="rId2168" Type="http://schemas.openxmlformats.org/officeDocument/2006/relationships/hyperlink" Target="https://www.youtube.com/c/alfilodelabrecha" TargetMode="External"/><Relationship Id="rId2375" Type="http://schemas.openxmlformats.org/officeDocument/2006/relationships/hyperlink" Target="http://www.elcorreodemadrid.com/" TargetMode="External"/><Relationship Id="rId347" Type="http://schemas.openxmlformats.org/officeDocument/2006/relationships/hyperlink" Target="https://pbs.twimg.com/media/Dt0UTXcXcAAd1vt.jpg" TargetMode="External"/><Relationship Id="rId999" Type="http://schemas.openxmlformats.org/officeDocument/2006/relationships/hyperlink" Target="https://pbs.twimg.com/media/DtuaJOKWwAA1rn4.jpg" TargetMode="External"/><Relationship Id="rId1100" Type="http://schemas.openxmlformats.org/officeDocument/2006/relationships/hyperlink" Target="https://www.youtube.com/channel/UCm0ylhSdYCfTuZWrmKptHPA" TargetMode="External"/><Relationship Id="rId1184" Type="http://schemas.openxmlformats.org/officeDocument/2006/relationships/hyperlink" Target="http://www.verdesmontenegro.es/" TargetMode="External"/><Relationship Id="rId1405" Type="http://schemas.openxmlformats.org/officeDocument/2006/relationships/hyperlink" Target="http://pic.twitter.com/b6rn3JXmOw" TargetMode="External"/><Relationship Id="rId1752" Type="http://schemas.openxmlformats.org/officeDocument/2006/relationships/hyperlink" Target="https://pbs.twimg.com/media/DtpS9EQWkAA5GSZ.jpg" TargetMode="External"/><Relationship Id="rId2028" Type="http://schemas.openxmlformats.org/officeDocument/2006/relationships/hyperlink" Target="https://maldita.es/malditodato/cuando-abascal-cobraba-mas-que-el-presidente-del-gobierno-por-cargos-a-dedo-pagados-con-dinero-publico/" TargetMode="External"/><Relationship Id="rId44" Type="http://schemas.openxmlformats.org/officeDocument/2006/relationships/hyperlink" Target="https://goo.gl/fb/22NmFz" TargetMode="External"/><Relationship Id="rId554" Type="http://schemas.openxmlformats.org/officeDocument/2006/relationships/hyperlink" Target="https://www.abc.es/espana/catalunya/politica/abci-crisis-gobierno-quim-torra-cargas-mossos-contra-201812071046_noticia.html" TargetMode="External"/><Relationship Id="rId761" Type="http://schemas.openxmlformats.org/officeDocument/2006/relationships/hyperlink" Target="http://pic.twitter.com/P4q16pT5Wv" TargetMode="External"/><Relationship Id="rId859" Type="http://schemas.openxmlformats.org/officeDocument/2006/relationships/hyperlink" Target="https://pbs.twimg.com/media/DtvanTnWkAEXtUr.jpg" TargetMode="External"/><Relationship Id="rId1391" Type="http://schemas.openxmlformats.org/officeDocument/2006/relationships/hyperlink" Target="http://ramonmartinezpiqueres.blogspot.com/" TargetMode="External"/><Relationship Id="rId1489" Type="http://schemas.openxmlformats.org/officeDocument/2006/relationships/hyperlink" Target="https://www.diariosur.es/nacional/primera-mentira-abascal-20181205152953-ntrc.html" TargetMode="External"/><Relationship Id="rId1612" Type="http://schemas.openxmlformats.org/officeDocument/2006/relationships/hyperlink" Target="https://albertodejesus63.blogspot.com/2018/12/vox-es-taurino-y-lo-sabes-por-alberto.html" TargetMode="External"/><Relationship Id="rId1696" Type="http://schemas.openxmlformats.org/officeDocument/2006/relationships/hyperlink" Target="https://pbs.twimg.com/media/DtpkFZ8XgAAbMbz.jpg" TargetMode="External"/><Relationship Id="rId1917" Type="http://schemas.openxmlformats.org/officeDocument/2006/relationships/hyperlink" Target="http://www.hortelanos.net/" TargetMode="External"/><Relationship Id="rId2235" Type="http://schemas.openxmlformats.org/officeDocument/2006/relationships/hyperlink" Target="https://pbs.twimg.com/media/Dtl1bHEWwAEbT8U.jpg" TargetMode="External"/><Relationship Id="rId193" Type="http://schemas.openxmlformats.org/officeDocument/2006/relationships/hyperlink" Target="https://www.periodistadigital.com/periodismo/tv/2018/12/07/nueva-burla-vox-escocidito-evole-cuesta-memorable-bano-twitter-sanguijuela-santi-abascal.shtml" TargetMode="External"/><Relationship Id="rId207" Type="http://schemas.openxmlformats.org/officeDocument/2006/relationships/hyperlink" Target="http://www.bitmomentum.com/" TargetMode="External"/><Relationship Id="rId414" Type="http://schemas.openxmlformats.org/officeDocument/2006/relationships/hyperlink" Target="https://www.laverdad.es/murcia/miembros-denuncian-haber-20181207005415-ntvo.html" TargetMode="External"/><Relationship Id="rId498" Type="http://schemas.openxmlformats.org/officeDocument/2006/relationships/hyperlink" Target="https://pbs.twimg.com/media/Dt0Gf4KWwAA0-NY.jpg" TargetMode="External"/><Relationship Id="rId621" Type="http://schemas.openxmlformats.org/officeDocument/2006/relationships/hyperlink" Target="https://www.periodistadigital.com/politica/partidos-politicos/2018/12/06/el-ultra-de-extrema-izquierda-echenique-compara-a-abascal-son-torrente-y-las-redes-lo-fulminan.shtml" TargetMode="External"/><Relationship Id="rId1044" Type="http://schemas.openxmlformats.org/officeDocument/2006/relationships/hyperlink" Target="https://www.abc.es/espana/abci-santiago-abascal-define-como-antipodemita-y-anticomunista-201812051148_video.html" TargetMode="External"/><Relationship Id="rId1251" Type="http://schemas.openxmlformats.org/officeDocument/2006/relationships/hyperlink" Target="https://www.abc.es/espana/abci-santiago-abascal-sanchez-no-dura-minuto-moncloa-si-adelanta-elecciones-201812042205_noticia.html" TargetMode="External"/><Relationship Id="rId1349" Type="http://schemas.openxmlformats.org/officeDocument/2006/relationships/hyperlink" Target="http://www.wado.es/" TargetMode="External"/><Relationship Id="rId2081" Type="http://schemas.openxmlformats.org/officeDocument/2006/relationships/hyperlink" Target="http://pic.twitter.com/k4BEOhjp23" TargetMode="External"/><Relationship Id="rId2179" Type="http://schemas.openxmlformats.org/officeDocument/2006/relationships/hyperlink" Target="http://pic.twitter.com/3CLM8Mur17" TargetMode="External"/><Relationship Id="rId2302" Type="http://schemas.openxmlformats.org/officeDocument/2006/relationships/hyperlink" Target="http://www.bitmomentum.com/" TargetMode="External"/><Relationship Id="rId260" Type="http://schemas.openxmlformats.org/officeDocument/2006/relationships/hyperlink" Target="https://justoperezblog.wordpress.com/" TargetMode="External"/><Relationship Id="rId719" Type="http://schemas.openxmlformats.org/officeDocument/2006/relationships/hyperlink" Target="https://youtu.be/sRfAUZ059S8" TargetMode="External"/><Relationship Id="rId926" Type="http://schemas.openxmlformats.org/officeDocument/2006/relationships/hyperlink" Target="https://www.youtube.com/watch?v=86Q_Q7v0RZk" TargetMode="External"/><Relationship Id="rId1111" Type="http://schemas.openxmlformats.org/officeDocument/2006/relationships/hyperlink" Target="https://youtu.be/S8_g6JS2z24" TargetMode="External"/><Relationship Id="rId1556" Type="http://schemas.openxmlformats.org/officeDocument/2006/relationships/hyperlink" Target="http://about.me/albert_nevado" TargetMode="External"/><Relationship Id="rId1763" Type="http://schemas.openxmlformats.org/officeDocument/2006/relationships/hyperlink" Target="https://pbs.twimg.com/media/DtpRsLOWoAAt964.jpg" TargetMode="External"/><Relationship Id="rId1970" Type="http://schemas.openxmlformats.org/officeDocument/2006/relationships/hyperlink" Target="http://www.bitmomentum.com/" TargetMode="External"/><Relationship Id="rId2386" Type="http://schemas.openxmlformats.org/officeDocument/2006/relationships/hyperlink" Target="https://www.instagram.com/cervantesfaqs/" TargetMode="External"/><Relationship Id="rId55" Type="http://schemas.openxmlformats.org/officeDocument/2006/relationships/hyperlink" Target="https://twitter.com/buenoparapensar/status/1071393943647121414" TargetMode="External"/><Relationship Id="rId120" Type="http://schemas.openxmlformats.org/officeDocument/2006/relationships/hyperlink" Target="http://www.elindependiente.com/autor/carmen-torres/" TargetMode="External"/><Relationship Id="rId358" Type="http://schemas.openxmlformats.org/officeDocument/2006/relationships/hyperlink" Target="http://www.bellasartes.ucm.es/" TargetMode="External"/><Relationship Id="rId565" Type="http://schemas.openxmlformats.org/officeDocument/2006/relationships/hyperlink" Target="http://www.nutrimas.es/" TargetMode="External"/><Relationship Id="rId772" Type="http://schemas.openxmlformats.org/officeDocument/2006/relationships/hyperlink" Target="http://pic.twitter.com/WwdaPDsGel" TargetMode="External"/><Relationship Id="rId1195" Type="http://schemas.openxmlformats.org/officeDocument/2006/relationships/hyperlink" Target="https://pbs.twimg.com/media/Dtr3PtHXQAA8Vdo.jpg" TargetMode="External"/><Relationship Id="rId1209" Type="http://schemas.openxmlformats.org/officeDocument/2006/relationships/hyperlink" Target="https://youtu.be/S8_g6JS2z24" TargetMode="External"/><Relationship Id="rId1416" Type="http://schemas.openxmlformats.org/officeDocument/2006/relationships/hyperlink" Target="https://youtu.be/xh72exxWHqA" TargetMode="External"/><Relationship Id="rId1623" Type="http://schemas.openxmlformats.org/officeDocument/2006/relationships/hyperlink" Target="https://twitter.com/cai_nyabel/status/1070047800359088128" TargetMode="External"/><Relationship Id="rId1830" Type="http://schemas.openxmlformats.org/officeDocument/2006/relationships/hyperlink" Target="https://twitter.com/donarfonzo/timelines/732468888500211712" TargetMode="External"/><Relationship Id="rId2039" Type="http://schemas.openxmlformats.org/officeDocument/2006/relationships/hyperlink" Target="https://youtu.be/oIMxo0mWe0Q" TargetMode="External"/><Relationship Id="rId2246" Type="http://schemas.openxmlformats.org/officeDocument/2006/relationships/hyperlink" Target="http://pic.twitter.com/MBqQwgWZHw" TargetMode="External"/><Relationship Id="rId218" Type="http://schemas.openxmlformats.org/officeDocument/2006/relationships/hyperlink" Target="http://pic.twitter.com/Q0rP8VUGoV" TargetMode="External"/><Relationship Id="rId425" Type="http://schemas.openxmlformats.org/officeDocument/2006/relationships/hyperlink" Target="https://pbs.twimg.com/media/Dt0qQClWsAAp1RE.jpg" TargetMode="External"/><Relationship Id="rId632" Type="http://schemas.openxmlformats.org/officeDocument/2006/relationships/hyperlink" Target="https://pbs.twimg.com/media/DtyzcgBWsAE0WdI.jpg" TargetMode="External"/><Relationship Id="rId1055" Type="http://schemas.openxmlformats.org/officeDocument/2006/relationships/hyperlink" Target="https://www.esdiario.com/453023193/El-video-de-un-jovencisimo-Santiago-Abascal-que-deberia-dar-verguenza-a-Podemos.html" TargetMode="External"/><Relationship Id="rId1262" Type="http://schemas.openxmlformats.org/officeDocument/2006/relationships/hyperlink" Target="http://www.chilechilechile.com/" TargetMode="External"/><Relationship Id="rId1928" Type="http://schemas.openxmlformats.org/officeDocument/2006/relationships/hyperlink" Target="https://www.facebook.com/profile.php?id=100011075051553" TargetMode="External"/><Relationship Id="rId2092" Type="http://schemas.openxmlformats.org/officeDocument/2006/relationships/hyperlink" Target="http://www.skynetcorporation.com/" TargetMode="External"/><Relationship Id="rId2106" Type="http://schemas.openxmlformats.org/officeDocument/2006/relationships/hyperlink" Target="http://jmaa.tv/" TargetMode="External"/><Relationship Id="rId2313" Type="http://schemas.openxmlformats.org/officeDocument/2006/relationships/hyperlink" Target="https://pbs.twimg.com/media/DtlVPgCWsAAWdKM.jpg" TargetMode="External"/><Relationship Id="rId271" Type="http://schemas.openxmlformats.org/officeDocument/2006/relationships/hyperlink" Target="http://pic.twitter.com/1aaf4L2mTS" TargetMode="External"/><Relationship Id="rId937" Type="http://schemas.openxmlformats.org/officeDocument/2006/relationships/hyperlink" Target="http://pic.twitter.com/fQLljKX2BU" TargetMode="External"/><Relationship Id="rId1122" Type="http://schemas.openxmlformats.org/officeDocument/2006/relationships/hyperlink" Target="https://www.instagram.com/cxvtvre/" TargetMode="External"/><Relationship Id="rId1567" Type="http://schemas.openxmlformats.org/officeDocument/2006/relationships/hyperlink" Target="https://pbs.twimg.com/media/Dtp9hlWXgAAmyJg.jpg" TargetMode="External"/><Relationship Id="rId1774" Type="http://schemas.openxmlformats.org/officeDocument/2006/relationships/hyperlink" Target="https://pbs.twimg.com/media/DtpPiLgWwAE145i.jpg" TargetMode="External"/><Relationship Id="rId1981" Type="http://schemas.openxmlformats.org/officeDocument/2006/relationships/hyperlink" Target="http://www.bitmomentum.com/" TargetMode="External"/><Relationship Id="rId2397" Type="http://schemas.openxmlformats.org/officeDocument/2006/relationships/hyperlink" Target="https://twitter.com/Santi_ABASCAL/status/1069722798074068992" TargetMode="External"/><Relationship Id="rId66" Type="http://schemas.openxmlformats.org/officeDocument/2006/relationships/hyperlink" Target="https://www.voxespana.es/lerida" TargetMode="External"/><Relationship Id="rId131" Type="http://schemas.openxmlformats.org/officeDocument/2006/relationships/hyperlink" Target="https://pbs.twimg.com/media/Dtv4NTjXcAEm5uP.jpg" TargetMode="External"/><Relationship Id="rId369" Type="http://schemas.openxmlformats.org/officeDocument/2006/relationships/hyperlink" Target="https://twitter.com/danierdecai35/status/1070800695945760768" TargetMode="External"/><Relationship Id="rId576" Type="http://schemas.openxmlformats.org/officeDocument/2006/relationships/hyperlink" Target="https://pbs.twimg.com/media/Dtzbb9wXcAE2ark.jpg" TargetMode="External"/><Relationship Id="rId783" Type="http://schemas.openxmlformats.org/officeDocument/2006/relationships/hyperlink" Target="https://pbs.twimg.com/media/DtwL_o1WsAAqjnq.jpg" TargetMode="External"/><Relationship Id="rId990" Type="http://schemas.openxmlformats.org/officeDocument/2006/relationships/hyperlink" Target="https://bit.ly/2QhHMgi" TargetMode="External"/><Relationship Id="rId1427" Type="http://schemas.openxmlformats.org/officeDocument/2006/relationships/hyperlink" Target="https://youtu.be/S8_g6JS2z24" TargetMode="External"/><Relationship Id="rId1634" Type="http://schemas.openxmlformats.org/officeDocument/2006/relationships/hyperlink" Target="http://bit.ly/2ATrVdy" TargetMode="External"/><Relationship Id="rId1841" Type="http://schemas.openxmlformats.org/officeDocument/2006/relationships/hyperlink" Target="http://www.democratesvalencians.org/" TargetMode="External"/><Relationship Id="rId2257" Type="http://schemas.openxmlformats.org/officeDocument/2006/relationships/hyperlink" Target="https://twitter.com/santi_abascal/status/1069949221175001089" TargetMode="External"/><Relationship Id="rId229" Type="http://schemas.openxmlformats.org/officeDocument/2006/relationships/hyperlink" Target="http://www.bitmomentum.com/" TargetMode="External"/><Relationship Id="rId436" Type="http://schemas.openxmlformats.org/officeDocument/2006/relationships/hyperlink" Target="https://youtu.be/S8_g6JS2z24" TargetMode="External"/><Relationship Id="rId643" Type="http://schemas.openxmlformats.org/officeDocument/2006/relationships/hyperlink" Target="http://youtu.be/vCzgGgIgofk?a" TargetMode="External"/><Relationship Id="rId1066" Type="http://schemas.openxmlformats.org/officeDocument/2006/relationships/hyperlink" Target="http://www.libertaddigital.com/opinion/fray-josepho/" TargetMode="External"/><Relationship Id="rId1273" Type="http://schemas.openxmlformats.org/officeDocument/2006/relationships/hyperlink" Target="http://www.diariovasco.com/" TargetMode="External"/><Relationship Id="rId1480" Type="http://schemas.openxmlformats.org/officeDocument/2006/relationships/hyperlink" Target="https://youtu.be/oIMxo0mWe0Q" TargetMode="External"/><Relationship Id="rId1939" Type="http://schemas.openxmlformats.org/officeDocument/2006/relationships/hyperlink" Target="https://www.elespanol.com/espana/20181203/condiciones-abascal-vox-apoye-pp-andalucia/357964592_0.html" TargetMode="External"/><Relationship Id="rId2117" Type="http://schemas.openxmlformats.org/officeDocument/2006/relationships/hyperlink" Target="http://www.cope.es/" TargetMode="External"/><Relationship Id="rId2324" Type="http://schemas.openxmlformats.org/officeDocument/2006/relationships/hyperlink" Target="https://twitter.com/Ana_la_antipopu/status/1069972158347206656" TargetMode="External"/><Relationship Id="rId850" Type="http://schemas.openxmlformats.org/officeDocument/2006/relationships/hyperlink" Target="https://bit.ly/2QCiUPH" TargetMode="External"/><Relationship Id="rId948" Type="http://schemas.openxmlformats.org/officeDocument/2006/relationships/hyperlink" Target="http://www.expansion.com/opinion/2018/12/06/5c084f0046163f4f4f8b45ed.html" TargetMode="External"/><Relationship Id="rId1133" Type="http://schemas.openxmlformats.org/officeDocument/2006/relationships/hyperlink" Target="http://ww.cope.es/khu0i3" TargetMode="External"/><Relationship Id="rId1578" Type="http://schemas.openxmlformats.org/officeDocument/2006/relationships/hyperlink" Target="http://www.eitb.eus/es/television/programas/en-jake/videos/detalle/6040837/video-de-que-ha-vivido-vive-santiago-abascal-vox/" TargetMode="External"/><Relationship Id="rId1701" Type="http://schemas.openxmlformats.org/officeDocument/2006/relationships/hyperlink" Target="http://www.sueldospublicos.com/" TargetMode="External"/><Relationship Id="rId1785" Type="http://schemas.openxmlformats.org/officeDocument/2006/relationships/hyperlink" Target="https://twitter.com/hermanntertsch/status/1070246713473032192" TargetMode="External"/><Relationship Id="rId1992" Type="http://schemas.openxmlformats.org/officeDocument/2006/relationships/hyperlink" Target="https://www.voxespana.es/" TargetMode="External"/><Relationship Id="rId77" Type="http://schemas.openxmlformats.org/officeDocument/2006/relationships/hyperlink" Target="https://www.facebook.com/ahorapodemos/videos/282673195926229/" TargetMode="External"/><Relationship Id="rId282" Type="http://schemas.openxmlformats.org/officeDocument/2006/relationships/hyperlink" Target="http://www.revistadon.com/" TargetMode="External"/><Relationship Id="rId503" Type="http://schemas.openxmlformats.org/officeDocument/2006/relationships/hyperlink" Target="https://pbs.twimg.com/media/Dt0DTBxWkAAlSzt.jpg" TargetMode="External"/><Relationship Id="rId587" Type="http://schemas.openxmlformats.org/officeDocument/2006/relationships/hyperlink" Target="https://youtu.be/nYzuCr7FnyI" TargetMode="External"/><Relationship Id="rId710" Type="http://schemas.openxmlformats.org/officeDocument/2006/relationships/hyperlink" Target="https://pbs.twimg.com/media/Dtq0aryW0AEa-YT.jpg" TargetMode="External"/><Relationship Id="rId808" Type="http://schemas.openxmlformats.org/officeDocument/2006/relationships/hyperlink" Target="http://pic.twitter.com/20yF6WPkHy" TargetMode="External"/><Relationship Id="rId1340" Type="http://schemas.openxmlformats.org/officeDocument/2006/relationships/hyperlink" Target="http://pic.twitter.com/kRQwY7tWMt" TargetMode="External"/><Relationship Id="rId1438" Type="http://schemas.openxmlformats.org/officeDocument/2006/relationships/hyperlink" Target="https://www.telecinco.es/elprogramadeanarosa/entrevista-completa-lider-vox_2_2670180051.html" TargetMode="External"/><Relationship Id="rId1645" Type="http://schemas.openxmlformats.org/officeDocument/2006/relationships/hyperlink" Target="http://www.lextres.com/" TargetMode="External"/><Relationship Id="rId2170" Type="http://schemas.openxmlformats.org/officeDocument/2006/relationships/hyperlink" Target="https://www.elnacional.cat/ca/politica/abascal-vox-detencio-torra_331380_102.html" TargetMode="External"/><Relationship Id="rId2268" Type="http://schemas.openxmlformats.org/officeDocument/2006/relationships/hyperlink" Target="https://www.facebook.com/carmelodifazioescritor/" TargetMode="External"/><Relationship Id="rId8" Type="http://schemas.openxmlformats.org/officeDocument/2006/relationships/hyperlink" Target="http://pic.twitter.com/oIuaK49ks1" TargetMode="External"/><Relationship Id="rId142" Type="http://schemas.openxmlformats.org/officeDocument/2006/relationships/hyperlink" Target="https://pbs.twimg.com/media/Dt4ZMmkXcAAFTJU.jpg" TargetMode="External"/><Relationship Id="rId447" Type="http://schemas.openxmlformats.org/officeDocument/2006/relationships/hyperlink" Target="https://es.linkedin.com/in/andr%25C3%25A9s-su%25C3%25A1rez-boto-01768847" TargetMode="External"/><Relationship Id="rId794" Type="http://schemas.openxmlformats.org/officeDocument/2006/relationships/hyperlink" Target="https://twitter.com/vox_es/status/1070648664102748162" TargetMode="External"/><Relationship Id="rId1077" Type="http://schemas.openxmlformats.org/officeDocument/2006/relationships/hyperlink" Target="https://twitter.com/JRhodesPianist/status/1070380217569607681" TargetMode="External"/><Relationship Id="rId1200" Type="http://schemas.openxmlformats.org/officeDocument/2006/relationships/hyperlink" Target="https://pbs.twimg.com/media/DtfAAVBX4AEnDPJ.jpg" TargetMode="External"/><Relationship Id="rId1852" Type="http://schemas.openxmlformats.org/officeDocument/2006/relationships/hyperlink" Target="http://www.eleconomista.es/" TargetMode="External"/><Relationship Id="rId2030" Type="http://schemas.openxmlformats.org/officeDocument/2006/relationships/hyperlink" Target="https://twitter.com/jordana_joan/status/1069314903847129088" TargetMode="External"/><Relationship Id="rId2128" Type="http://schemas.openxmlformats.org/officeDocument/2006/relationships/hyperlink" Target="http://danielpintobausela.wordpress.com/" TargetMode="External"/><Relationship Id="rId654" Type="http://schemas.openxmlformats.org/officeDocument/2006/relationships/hyperlink" Target="https://www.youtube.com/watch?v=QlH5N_sghGI" TargetMode="External"/><Relationship Id="rId861" Type="http://schemas.openxmlformats.org/officeDocument/2006/relationships/hyperlink" Target="https://pbs.twimg.com/media/DtvaZX5WoAEiuDd.jpg" TargetMode="External"/><Relationship Id="rId959" Type="http://schemas.openxmlformats.org/officeDocument/2006/relationships/hyperlink" Target="https://www.youtube.com/channel/UCzAeV22GnQxwUBokDOEyb4A" TargetMode="External"/><Relationship Id="rId1284" Type="http://schemas.openxmlformats.org/officeDocument/2006/relationships/hyperlink" Target="https://pbs.twimg.com/media/DtrZkfJW4AAwrXD.jpg" TargetMode="External"/><Relationship Id="rId1491" Type="http://schemas.openxmlformats.org/officeDocument/2006/relationships/hyperlink" Target="https://www.telecinco.es/elprogramadeanarosa/santiago-abascal-vox-primera-entrevista-television_2_2670180014.html" TargetMode="External"/><Relationship Id="rId1505" Type="http://schemas.openxmlformats.org/officeDocument/2006/relationships/hyperlink" Target="https://mailchi.mp/e831ff79b9e8/plataformaaida" TargetMode="External"/><Relationship Id="rId1589" Type="http://schemas.openxmlformats.org/officeDocument/2006/relationships/hyperlink" Target="https://pbs.twimg.com/media/DtpW-7RXgAA-TtL.jpg" TargetMode="External"/><Relationship Id="rId1712" Type="http://schemas.openxmlformats.org/officeDocument/2006/relationships/hyperlink" Target="https://twitter.com/liberal_mirada/status/1070263688182071296" TargetMode="External"/><Relationship Id="rId2335" Type="http://schemas.openxmlformats.org/officeDocument/2006/relationships/hyperlink" Target="https://pbs.twimg.com/media/DHwDzJ_WAAASmcT.jpg" TargetMode="External"/><Relationship Id="rId293" Type="http://schemas.openxmlformats.org/officeDocument/2006/relationships/hyperlink" Target="https://youtu.be/P_j7baLjx28" TargetMode="External"/><Relationship Id="rId307" Type="http://schemas.openxmlformats.org/officeDocument/2006/relationships/hyperlink" Target="http://pic.twitter.com/MdfwvNSZyy" TargetMode="External"/><Relationship Id="rId514" Type="http://schemas.openxmlformats.org/officeDocument/2006/relationships/hyperlink" Target="https://www.facebook.com/marisol.tabuyo/videos/10156828740077954/" TargetMode="External"/><Relationship Id="rId721" Type="http://schemas.openxmlformats.org/officeDocument/2006/relationships/hyperlink" Target="https://www.facebook.com/martin.brunetpuigbo" TargetMode="External"/><Relationship Id="rId1144" Type="http://schemas.openxmlformats.org/officeDocument/2006/relationships/hyperlink" Target="http://pic.twitter.com/879ENRlHnz" TargetMode="External"/><Relationship Id="rId1351" Type="http://schemas.openxmlformats.org/officeDocument/2006/relationships/hyperlink" Target="https://twitter.com/AuradeCristal87/status/1069935518379589637" TargetMode="External"/><Relationship Id="rId1449" Type="http://schemas.openxmlformats.org/officeDocument/2006/relationships/hyperlink" Target="http://www.lextres.com/" TargetMode="External"/><Relationship Id="rId1796" Type="http://schemas.openxmlformats.org/officeDocument/2006/relationships/hyperlink" Target="https://www.voxespana.es/" TargetMode="External"/><Relationship Id="rId2181" Type="http://schemas.openxmlformats.org/officeDocument/2006/relationships/hyperlink" Target="https://instagram.com/arte_arquitectura_museos?utm_source=ig_profile_share&amp;igshid=1cg4p6qkbuct7" TargetMode="External"/><Relationship Id="rId2402" Type="http://schemas.openxmlformats.org/officeDocument/2006/relationships/hyperlink" Target="http://www.bitmomentum.com/" TargetMode="External"/><Relationship Id="rId88" Type="http://schemas.openxmlformats.org/officeDocument/2006/relationships/hyperlink" Target="https://pbs.twimg.com/media/Dt487-tWkAAu8iu.jpg" TargetMode="External"/><Relationship Id="rId153" Type="http://schemas.openxmlformats.org/officeDocument/2006/relationships/hyperlink" Target="http://instagram.com/teodorovox" TargetMode="External"/><Relationship Id="rId360" Type="http://schemas.openxmlformats.org/officeDocument/2006/relationships/hyperlink" Target="https://pbs.twimg.com/media/Dtzv4CuXcAA5HMu.jpg" TargetMode="External"/><Relationship Id="rId598" Type="http://schemas.openxmlformats.org/officeDocument/2006/relationships/hyperlink" Target="https://pbs.twimg.com/media/DtzPqqiWoAAAGMR.jpg" TargetMode="External"/><Relationship Id="rId819" Type="http://schemas.openxmlformats.org/officeDocument/2006/relationships/hyperlink" Target="https://twitter.com/vox_es/status/1070393579317673992" TargetMode="External"/><Relationship Id="rId1004" Type="http://schemas.openxmlformats.org/officeDocument/2006/relationships/hyperlink" Target="https://twitter.com/RosaGJAraujo1/status/1070611908825362432" TargetMode="External"/><Relationship Id="rId1211" Type="http://schemas.openxmlformats.org/officeDocument/2006/relationships/hyperlink" Target="http://www.ivoox.com/podcast-aguas-turbias_sq_f1132463_1.html" TargetMode="External"/><Relationship Id="rId1656" Type="http://schemas.openxmlformats.org/officeDocument/2006/relationships/hyperlink" Target="http://www.bitmomentum.com/" TargetMode="External"/><Relationship Id="rId1863" Type="http://schemas.openxmlformats.org/officeDocument/2006/relationships/hyperlink" Target="https://www.diariosur.es/malaga-capital/investigada-denuncia-falsa-20181123230430-nt.html" TargetMode="External"/><Relationship Id="rId2041" Type="http://schemas.openxmlformats.org/officeDocument/2006/relationships/hyperlink" Target="https://twitter.com/sanchezcastejon/status/1070074025131630592" TargetMode="External"/><Relationship Id="rId2279" Type="http://schemas.openxmlformats.org/officeDocument/2006/relationships/hyperlink" Target="https://casoaislado.com/jovenes-vox-plantan-cara-las-hordas-podemitas-pablo-iglesias-sevilla-la-espana-viva-no-miedo-nadie/" TargetMode="External"/><Relationship Id="rId220" Type="http://schemas.openxmlformats.org/officeDocument/2006/relationships/hyperlink" Target="https://pbs.twimg.com/media/DtxBxtmW0AA_D0L.jpg" TargetMode="External"/><Relationship Id="rId458" Type="http://schemas.openxmlformats.org/officeDocument/2006/relationships/hyperlink" Target="https://pbs.twimg.com/media/Dtw_d7JW4AAeyTa.jpg" TargetMode="External"/><Relationship Id="rId665" Type="http://schemas.openxmlformats.org/officeDocument/2006/relationships/hyperlink" Target="https://elpais.com/politica/2018/12/05/actualidad/1544036869_183925.html?id_externo_rsoc=FB_CC&amp;fbclid=IwAR1dDPQvB0PDZrK0z_jbZv3Wuyv_LaYh9TU05Y_Am6MSewHO3qE3enKZLdo" TargetMode="External"/><Relationship Id="rId872" Type="http://schemas.openxmlformats.org/officeDocument/2006/relationships/hyperlink" Target="https://pbs.twimg.com/media/DtpSIPMWsAA8nMe.jpg" TargetMode="External"/><Relationship Id="rId1088" Type="http://schemas.openxmlformats.org/officeDocument/2006/relationships/hyperlink" Target="https://twitter.com/Pedro79Diez/status/1070249192197623808" TargetMode="External"/><Relationship Id="rId1295" Type="http://schemas.openxmlformats.org/officeDocument/2006/relationships/hyperlink" Target="https://www.youtube.com/watch?v=EdpZF3nLMF8&amp;lc=z23hvb5gav2by5qlgacdp433nnmhfjemukp21pcd5otw03c010c" TargetMode="External"/><Relationship Id="rId1309" Type="http://schemas.openxmlformats.org/officeDocument/2006/relationships/hyperlink" Target="http://www.abc.es/" TargetMode="External"/><Relationship Id="rId1516" Type="http://schemas.openxmlformats.org/officeDocument/2006/relationships/hyperlink" Target="http://pic.twitter.com/jkR7lBE4GT" TargetMode="External"/><Relationship Id="rId1723" Type="http://schemas.openxmlformats.org/officeDocument/2006/relationships/hyperlink" Target="https://pbs.twimg.com/media/DtpYh4MWoAI8ToK.jpg" TargetMode="External"/><Relationship Id="rId1930" Type="http://schemas.openxmlformats.org/officeDocument/2006/relationships/hyperlink" Target="https://www.cordoba.es/" TargetMode="External"/><Relationship Id="rId2139" Type="http://schemas.openxmlformats.org/officeDocument/2006/relationships/hyperlink" Target="https://www.youtube.com/channel/UCQ5QSoJnTf-w7DdIRMCsDyA" TargetMode="External"/><Relationship Id="rId2346" Type="http://schemas.openxmlformats.org/officeDocument/2006/relationships/hyperlink" Target="https://youtu.be/vCzgGgIgofk" TargetMode="External"/><Relationship Id="rId15" Type="http://schemas.openxmlformats.org/officeDocument/2006/relationships/hyperlink" Target="http://www.bitmomentum.com/" TargetMode="External"/><Relationship Id="rId318" Type="http://schemas.openxmlformats.org/officeDocument/2006/relationships/hyperlink" Target="https://www.periodistadigital.com/periodismo/tv/2018/12/07/nueva-burla-vox-escocidito-evole-cuesta-memorable-bano-twitter-sanguijuela-santi-abascal.shtml" TargetMode="External"/><Relationship Id="rId525" Type="http://schemas.openxmlformats.org/officeDocument/2006/relationships/hyperlink" Target="http://www.bellaindomita.com/" TargetMode="External"/><Relationship Id="rId732" Type="http://schemas.openxmlformats.org/officeDocument/2006/relationships/hyperlink" Target="https://www.periodistadigital.com/politica/partidos-politicos/2018/12/06/el-ultra-de-extrema-izquierda-echenique-compara-a-abascal-son-torrente-y-las-redes-lo-fulminan.shtml" TargetMode="External"/><Relationship Id="rId1155" Type="http://schemas.openxmlformats.org/officeDocument/2006/relationships/hyperlink" Target="https://pbs.twimg.com/media/DtsFJ5iW0AExoF5.jpg" TargetMode="External"/><Relationship Id="rId1362" Type="http://schemas.openxmlformats.org/officeDocument/2006/relationships/hyperlink" Target="https://twitter.com/entelequio2/status/1070302841057787905" TargetMode="External"/><Relationship Id="rId2192" Type="http://schemas.openxmlformats.org/officeDocument/2006/relationships/hyperlink" Target="https://www.elindependiente.com/politica/2018/12/04/abascal-cerraria-ya-canal-sur-detendria-torra/" TargetMode="External"/><Relationship Id="rId2206" Type="http://schemas.openxmlformats.org/officeDocument/2006/relationships/hyperlink" Target="https://instagram.com/angel_esojo/" TargetMode="External"/><Relationship Id="rId99" Type="http://schemas.openxmlformats.org/officeDocument/2006/relationships/hyperlink" Target="http://www.paginasdigital.es/v_portal/apartados/apartado.asp?te=242" TargetMode="External"/><Relationship Id="rId164" Type="http://schemas.openxmlformats.org/officeDocument/2006/relationships/hyperlink" Target="http://trendinalia.com/twitter-trending-topics/spain/" TargetMode="External"/><Relationship Id="rId371" Type="http://schemas.openxmlformats.org/officeDocument/2006/relationships/hyperlink" Target="http://bit.ly/2TziKr7" TargetMode="External"/><Relationship Id="rId1015" Type="http://schemas.openxmlformats.org/officeDocument/2006/relationships/hyperlink" Target="http://pcasevillalocal.org/" TargetMode="External"/><Relationship Id="rId1222" Type="http://schemas.openxmlformats.org/officeDocument/2006/relationships/hyperlink" Target="https://pbs.twimg.com/media/Dtrr00xWsAYMiYR.jpg" TargetMode="External"/><Relationship Id="rId1667" Type="http://schemas.openxmlformats.org/officeDocument/2006/relationships/hyperlink" Target="http://pic.twitter.com/WKhpz7LXTo" TargetMode="External"/><Relationship Id="rId1874" Type="http://schemas.openxmlformats.org/officeDocument/2006/relationships/hyperlink" Target="https://pbs.twimg.com/media/Dto8QV_WsAAaPkc.jpg" TargetMode="External"/><Relationship Id="rId2052" Type="http://schemas.openxmlformats.org/officeDocument/2006/relationships/hyperlink" Target="http://pic.twitter.com/ffcVBQi5H1" TargetMode="External"/><Relationship Id="rId469" Type="http://schemas.openxmlformats.org/officeDocument/2006/relationships/hyperlink" Target="https://www.instagram.com/p/BrFqb91A-kG/?utm_source=ig_twitter_share&amp;igshid=1qakdghl5bcdg" TargetMode="External"/><Relationship Id="rId676" Type="http://schemas.openxmlformats.org/officeDocument/2006/relationships/hyperlink" Target="https://pbs.twimg.com/media/DtxPGOuWsAAdQam.jpg" TargetMode="External"/><Relationship Id="rId883" Type="http://schemas.openxmlformats.org/officeDocument/2006/relationships/hyperlink" Target="http://www.larealidad23.wordpress.com/" TargetMode="External"/><Relationship Id="rId1099" Type="http://schemas.openxmlformats.org/officeDocument/2006/relationships/hyperlink" Target="https://www.youtube.com/channel/UCm0ylhSdYCfTuZWrmKptHPA" TargetMode="External"/><Relationship Id="rId1527" Type="http://schemas.openxmlformats.org/officeDocument/2006/relationships/hyperlink" Target="https://www.youtube.com/c/hermoti?sub_confirmation=1" TargetMode="External"/><Relationship Id="rId1734" Type="http://schemas.openxmlformats.org/officeDocument/2006/relationships/hyperlink" Target="https://twitter.com/aliasamparo/status/1070260155177160706" TargetMode="External"/><Relationship Id="rId1941" Type="http://schemas.openxmlformats.org/officeDocument/2006/relationships/hyperlink" Target="https://twitter.com/Santi_ABASCAL/status/1069949221175001089" TargetMode="External"/><Relationship Id="rId2357" Type="http://schemas.openxmlformats.org/officeDocument/2006/relationships/hyperlink" Target="http://eldiadecordoba.es/" TargetMode="External"/><Relationship Id="rId26" Type="http://schemas.openxmlformats.org/officeDocument/2006/relationships/hyperlink" Target="https://twitter.com/alwaysfree86/status/1070299080906211329?s=19" TargetMode="External"/><Relationship Id="rId231" Type="http://schemas.openxmlformats.org/officeDocument/2006/relationships/hyperlink" Target="http://pic.twitter.com/ILAHpmnOIQ" TargetMode="External"/><Relationship Id="rId329" Type="http://schemas.openxmlformats.org/officeDocument/2006/relationships/hyperlink" Target="https://www.diariosur.es/nacional/vox-gana-nuevos-afiliados-tras-elecciones-andalucia-20181207154837-ntrc.html" TargetMode="External"/><Relationship Id="rId536" Type="http://schemas.openxmlformats.org/officeDocument/2006/relationships/hyperlink" Target="https://www.laverdad.es/murcia/miembros-denuncian-haber-20181207005415-ntvo.html" TargetMode="External"/><Relationship Id="rId1166" Type="http://schemas.openxmlformats.org/officeDocument/2006/relationships/hyperlink" Target="http://pic.twitter.com/sQQQMtGvUc" TargetMode="External"/><Relationship Id="rId1373" Type="http://schemas.openxmlformats.org/officeDocument/2006/relationships/hyperlink" Target="https://youtu.be/RaSIX4-RPAI" TargetMode="External"/><Relationship Id="rId2217" Type="http://schemas.openxmlformats.org/officeDocument/2006/relationships/hyperlink" Target="http://pic.twitter.com/PeaOJBueB0" TargetMode="External"/><Relationship Id="rId175" Type="http://schemas.openxmlformats.org/officeDocument/2006/relationships/hyperlink" Target="https://twitter.com/jordievole/status/1071163348039942145" TargetMode="External"/><Relationship Id="rId743" Type="http://schemas.openxmlformats.org/officeDocument/2006/relationships/hyperlink" Target="https://www.lavanguardia.com/politica/20181206/453399945627/detenido-brasil-autor-matanza-abogados-atocha.html?utm_campaign=botones_sociales&amp;utm_source=twitter&amp;utm_medium=social" TargetMode="External"/><Relationship Id="rId950" Type="http://schemas.openxmlformats.org/officeDocument/2006/relationships/hyperlink" Target="http://www.expansion.com/opinion/2018/12/06/5c084f0046163f4f4f8b45ed.html" TargetMode="External"/><Relationship Id="rId1026" Type="http://schemas.openxmlformats.org/officeDocument/2006/relationships/hyperlink" Target="https://pbs.twimg.com/media/DtuOTSJXQAEft_N.jpg" TargetMode="External"/><Relationship Id="rId1580" Type="http://schemas.openxmlformats.org/officeDocument/2006/relationships/hyperlink" Target="http://www.eitb.eus/" TargetMode="External"/><Relationship Id="rId1678" Type="http://schemas.openxmlformats.org/officeDocument/2006/relationships/hyperlink" Target="http://pic.twitter.com/ag3Sb3cdLu" TargetMode="External"/><Relationship Id="rId1801" Type="http://schemas.openxmlformats.org/officeDocument/2006/relationships/hyperlink" Target="http://pic.twitter.com/eD8esgpc6c" TargetMode="External"/><Relationship Id="rId1885" Type="http://schemas.openxmlformats.org/officeDocument/2006/relationships/hyperlink" Target="http://pic.twitter.com/eeV7GQcSEV" TargetMode="External"/><Relationship Id="rId382" Type="http://schemas.openxmlformats.org/officeDocument/2006/relationships/hyperlink" Target="https://www.elespanol.com/bluper/noticias/irresponsabilidad-ana-rosa-telecinco-humanizando-santiago-abascal-ultraderecha" TargetMode="External"/><Relationship Id="rId603" Type="http://schemas.openxmlformats.org/officeDocument/2006/relationships/hyperlink" Target="https://www.libertaddigital.com/opinion/santiago-abascal/pablo-el-infierno-mismo-78791/" TargetMode="External"/><Relationship Id="rId687" Type="http://schemas.openxmlformats.org/officeDocument/2006/relationships/hyperlink" Target="http://pic.twitter.com/P4q16pT5Wv" TargetMode="External"/><Relationship Id="rId810" Type="http://schemas.openxmlformats.org/officeDocument/2006/relationships/hyperlink" Target="http://elmundotalcomovapd.blogspot.com.es/" TargetMode="External"/><Relationship Id="rId908" Type="http://schemas.openxmlformats.org/officeDocument/2006/relationships/hyperlink" Target="https://pbs.twimg.com/media/DtpSIPMWsAA8nMe.jpg" TargetMode="External"/><Relationship Id="rId1233" Type="http://schemas.openxmlformats.org/officeDocument/2006/relationships/hyperlink" Target="https://www.facebook.com/monttseintheliving?ref=bookmarks" TargetMode="External"/><Relationship Id="rId1440" Type="http://schemas.openxmlformats.org/officeDocument/2006/relationships/hyperlink" Target="http://www.youtube.com/user/MaxXiiMusHD" TargetMode="External"/><Relationship Id="rId1538" Type="http://schemas.openxmlformats.org/officeDocument/2006/relationships/hyperlink" Target="http://www.martinruizcalvente.blogspot.com/" TargetMode="External"/><Relationship Id="rId2063" Type="http://schemas.openxmlformats.org/officeDocument/2006/relationships/hyperlink" Target="http://www.bitmomentum.com/" TargetMode="External"/><Relationship Id="rId2270" Type="http://schemas.openxmlformats.org/officeDocument/2006/relationships/hyperlink" Target="http://www.bitmomentum.com/" TargetMode="External"/><Relationship Id="rId2368" Type="http://schemas.openxmlformats.org/officeDocument/2006/relationships/hyperlink" Target="https://pbs.twimg.com/media/DtlIY3SXQAEyirJ.jpg" TargetMode="External"/><Relationship Id="rId242" Type="http://schemas.openxmlformats.org/officeDocument/2006/relationships/hyperlink" Target="https://youtu.be/1L2AUru_tZ8" TargetMode="External"/><Relationship Id="rId894" Type="http://schemas.openxmlformats.org/officeDocument/2006/relationships/hyperlink" Target="https://pbs.twimg.com/media/DtvHzV7WkAA6zOh.jpg" TargetMode="External"/><Relationship Id="rId1177" Type="http://schemas.openxmlformats.org/officeDocument/2006/relationships/hyperlink" Target="https://www.asivaespana.com/politica/esto-de-santi-abascal-el-enchufado-de-ignacio-gonzalez" TargetMode="External"/><Relationship Id="rId1300" Type="http://schemas.openxmlformats.org/officeDocument/2006/relationships/hyperlink" Target="http://instagram.com/esteban12396" TargetMode="External"/><Relationship Id="rId1745" Type="http://schemas.openxmlformats.org/officeDocument/2006/relationships/hyperlink" Target="https://www.moncloa.com/etb-vox-yunque-iran-abascal/" TargetMode="External"/><Relationship Id="rId1952" Type="http://schemas.openxmlformats.org/officeDocument/2006/relationships/hyperlink" Target="https://www.elconfidencial.com/elecciones-andalucia/2018-12-04/santiago-abascal-canal-sur-vox_1685166/" TargetMode="External"/><Relationship Id="rId2130" Type="http://schemas.openxmlformats.org/officeDocument/2006/relationships/hyperlink" Target="https://twitter.com/anarosaq/status/1070034841066983427" TargetMode="External"/><Relationship Id="rId37" Type="http://schemas.openxmlformats.org/officeDocument/2006/relationships/hyperlink" Target="https://www.elmundo.es/opinion/2018/12/08/5c081e04fdddff5b688b4717.html" TargetMode="External"/><Relationship Id="rId102" Type="http://schemas.openxmlformats.org/officeDocument/2006/relationships/hyperlink" Target="https://twitter.com/FrayJosepho/status/1071324794526797824" TargetMode="External"/><Relationship Id="rId547" Type="http://schemas.openxmlformats.org/officeDocument/2006/relationships/hyperlink" Target="https://youtu.be/SIu4SW_EY2I" TargetMode="External"/><Relationship Id="rId754" Type="http://schemas.openxmlformats.org/officeDocument/2006/relationships/hyperlink" Target="https://twitter.com/Philip_Oias" TargetMode="External"/><Relationship Id="rId961" Type="http://schemas.openxmlformats.org/officeDocument/2006/relationships/hyperlink" Target="https://pbs.twimg.com/media/Dtup3mAWkAIQn_O.jpg" TargetMode="External"/><Relationship Id="rId1384" Type="http://schemas.openxmlformats.org/officeDocument/2006/relationships/hyperlink" Target="https://pbs.twimg.com/media/DtpSIPMWsAA8nMe.jpg" TargetMode="External"/><Relationship Id="rId1591" Type="http://schemas.openxmlformats.org/officeDocument/2006/relationships/hyperlink" Target="https://pbs.twimg.com/media/DtpOMUDW0AADUgl.jpg" TargetMode="External"/><Relationship Id="rId1605" Type="http://schemas.openxmlformats.org/officeDocument/2006/relationships/hyperlink" Target="http://www.mediterraneodigital.com/" TargetMode="External"/><Relationship Id="rId1689" Type="http://schemas.openxmlformats.org/officeDocument/2006/relationships/hyperlink" Target="https://www.instagram.com/dominjaen99/" TargetMode="External"/><Relationship Id="rId1812" Type="http://schemas.openxmlformats.org/officeDocument/2006/relationships/hyperlink" Target="http://santacreu.redsat.net/vox-lo-logramos-porque-no-sabiamos-que-era-imposible/" TargetMode="External"/><Relationship Id="rId2228" Type="http://schemas.openxmlformats.org/officeDocument/2006/relationships/hyperlink" Target="https://youtu.be/1ui2PDJJb_s" TargetMode="External"/><Relationship Id="rId90" Type="http://schemas.openxmlformats.org/officeDocument/2006/relationships/hyperlink" Target="https://pbs.twimg.com/media/Dt47-iXXQAUezDN.jpg" TargetMode="External"/><Relationship Id="rId186" Type="http://schemas.openxmlformats.org/officeDocument/2006/relationships/hyperlink" Target="https://www.youtube.com/c/alfilodelabrecha" TargetMode="External"/><Relationship Id="rId393" Type="http://schemas.openxmlformats.org/officeDocument/2006/relationships/hyperlink" Target="https://youtu.be/qyuco7yKy8k" TargetMode="External"/><Relationship Id="rId407" Type="http://schemas.openxmlformats.org/officeDocument/2006/relationships/hyperlink" Target="https://twitter.com/libertaddigital/status/1071059601355927552" TargetMode="External"/><Relationship Id="rId614" Type="http://schemas.openxmlformats.org/officeDocument/2006/relationships/hyperlink" Target="https://twitter.com/danierdecai35/status/1070800695945760768" TargetMode="External"/><Relationship Id="rId821" Type="http://schemas.openxmlformats.org/officeDocument/2006/relationships/hyperlink" Target="http://pic.twitter.com/PHf8HIrHas" TargetMode="External"/><Relationship Id="rId1037" Type="http://schemas.openxmlformats.org/officeDocument/2006/relationships/hyperlink" Target="https://pbs.twimg.com/media/DtuM4wpXQAApoqq.jpg" TargetMode="External"/><Relationship Id="rId1244" Type="http://schemas.openxmlformats.org/officeDocument/2006/relationships/hyperlink" Target="https://twitter.com/vox_es/status/1070393579317673992" TargetMode="External"/><Relationship Id="rId1451" Type="http://schemas.openxmlformats.org/officeDocument/2006/relationships/hyperlink" Target="https://pbs.twimg.com/media/DtqmyK8X4AE5zMj.jpg" TargetMode="External"/><Relationship Id="rId1896" Type="http://schemas.openxmlformats.org/officeDocument/2006/relationships/hyperlink" Target="https://www.lasprovincias.es/elecciones/andaluzas/santiago-abascal-agresiones-mujeres-extranjeros-20181205204345-ntrc.html" TargetMode="External"/><Relationship Id="rId2074" Type="http://schemas.openxmlformats.org/officeDocument/2006/relationships/hyperlink" Target="https://youtu.be/S8_g6JS2z24" TargetMode="External"/><Relationship Id="rId2281" Type="http://schemas.openxmlformats.org/officeDocument/2006/relationships/hyperlink" Target="https://www.huffingtonpost.es/2018/12/03/santi-abascal-en-estado-puro-sus-peores-frases_a_23606746/" TargetMode="External"/><Relationship Id="rId253" Type="http://schemas.openxmlformats.org/officeDocument/2006/relationships/hyperlink" Target="https://www.moncloa.com/etb-vox-yunque-iran-abascal/" TargetMode="External"/><Relationship Id="rId460" Type="http://schemas.openxmlformats.org/officeDocument/2006/relationships/hyperlink" Target="https://okdiario.com/espana/2018/12/07/iglesias-da-razon-abascal-derecho-portar-armas-bases-democracia-3438627?utm_campaign=inda&amp;utm_medium=Social&amp;utm_source=Twitter" TargetMode="External"/><Relationship Id="rId698" Type="http://schemas.openxmlformats.org/officeDocument/2006/relationships/hyperlink" Target="https://pbs.twimg.com/media/DtxGNCoWsAANHh7.jpg" TargetMode="External"/><Relationship Id="rId919" Type="http://schemas.openxmlformats.org/officeDocument/2006/relationships/hyperlink" Target="https://pbs.twimg.com/media/Dtu6zrxXcAAYt78.jpg" TargetMode="External"/><Relationship Id="rId1090" Type="http://schemas.openxmlformats.org/officeDocument/2006/relationships/hyperlink" Target="https://pbs.twimg.com/media/Dto8Ew6WkAAJiIO.jpg" TargetMode="External"/><Relationship Id="rId1104" Type="http://schemas.openxmlformats.org/officeDocument/2006/relationships/hyperlink" Target="https://youtu.be/34ocY_QnNJg" TargetMode="External"/><Relationship Id="rId1311" Type="http://schemas.openxmlformats.org/officeDocument/2006/relationships/hyperlink" Target="http://pic.twitter.com/lEIWVvh8Yj" TargetMode="External"/><Relationship Id="rId1549" Type="http://schemas.openxmlformats.org/officeDocument/2006/relationships/hyperlink" Target="https://casoaislado.com/abascal-en-el-programa-de-ana-rosa-somos-antipodemitas-y-anticomunistas/" TargetMode="External"/><Relationship Id="rId1756" Type="http://schemas.openxmlformats.org/officeDocument/2006/relationships/hyperlink" Target="https://pbs.twimg.com/media/DtpOVSbWsAAVVhz.jpg" TargetMode="External"/><Relationship Id="rId1963" Type="http://schemas.openxmlformats.org/officeDocument/2006/relationships/hyperlink" Target="http://www.bitmomentum.com/" TargetMode="External"/><Relationship Id="rId2141" Type="http://schemas.openxmlformats.org/officeDocument/2006/relationships/hyperlink" Target="https://pbs.twimg.com/media/DtmXM4pWsAAx4qW.jpg" TargetMode="External"/><Relationship Id="rId2379" Type="http://schemas.openxmlformats.org/officeDocument/2006/relationships/hyperlink" Target="https://pbs.twimg.com/media/DtlGxVmWoAArzgZ.jpg" TargetMode="External"/><Relationship Id="rId48" Type="http://schemas.openxmlformats.org/officeDocument/2006/relationships/hyperlink" Target="http://www.elindependiente.com/" TargetMode="External"/><Relationship Id="rId113" Type="http://schemas.openxmlformats.org/officeDocument/2006/relationships/hyperlink" Target="https://www.facebook.com/1473550627/posts/10218086978153994/" TargetMode="External"/><Relationship Id="rId320" Type="http://schemas.openxmlformats.org/officeDocument/2006/relationships/hyperlink" Target="https://pbs.twimg.com/media/Dt1jbZxW0AUtjGg.jpg" TargetMode="External"/><Relationship Id="rId558" Type="http://schemas.openxmlformats.org/officeDocument/2006/relationships/hyperlink" Target="https://twitter.com/danierdecai35/status/1070800695945760768" TargetMode="External"/><Relationship Id="rId765" Type="http://schemas.openxmlformats.org/officeDocument/2006/relationships/hyperlink" Target="https://www.elplural.com/politica/los-genoveses/santiago-abascal-ultra-con-sueldo-y-pistola_207673102" TargetMode="External"/><Relationship Id="rId972" Type="http://schemas.openxmlformats.org/officeDocument/2006/relationships/hyperlink" Target="https://pbs.twimg.com/media/Dtuj4I_X4AE-f75.jpg" TargetMode="External"/><Relationship Id="rId1188" Type="http://schemas.openxmlformats.org/officeDocument/2006/relationships/hyperlink" Target="https://www.marca.com/atletismo/2018/12/05/5c08023c468aeb50388b45ed.html" TargetMode="External"/><Relationship Id="rId1395" Type="http://schemas.openxmlformats.org/officeDocument/2006/relationships/hyperlink" Target="http://pic.twitter.com/ffcVBQi5H1" TargetMode="External"/><Relationship Id="rId1409" Type="http://schemas.openxmlformats.org/officeDocument/2006/relationships/hyperlink" Target="http://pic.twitter.com/WO1lGehXTQ" TargetMode="External"/><Relationship Id="rId1616" Type="http://schemas.openxmlformats.org/officeDocument/2006/relationships/hyperlink" Target="https://pbs.twimg.com/media/Dtp2d68XgAAVa9c.jpg" TargetMode="External"/><Relationship Id="rId1823" Type="http://schemas.openxmlformats.org/officeDocument/2006/relationships/hyperlink" Target="https://pbs.twimg.com/media/DtpFAGnWsAA-BPO.jpg" TargetMode="External"/><Relationship Id="rId2001" Type="http://schemas.openxmlformats.org/officeDocument/2006/relationships/hyperlink" Target="https://m.diariodecadiz.es/cadiz/Graves-incidentes-Cadiz-manifestacion-electorales_0_1306369863.amp.html" TargetMode="External"/><Relationship Id="rId2239" Type="http://schemas.openxmlformats.org/officeDocument/2006/relationships/hyperlink" Target="http://www.coffeewithjuanjo.com/" TargetMode="External"/><Relationship Id="rId197" Type="http://schemas.openxmlformats.org/officeDocument/2006/relationships/hyperlink" Target="http://www.bitmomentum.com/" TargetMode="External"/><Relationship Id="rId418" Type="http://schemas.openxmlformats.org/officeDocument/2006/relationships/hyperlink" Target="https://twitter.com/okdiario/status/1071056738076418048" TargetMode="External"/><Relationship Id="rId625" Type="http://schemas.openxmlformats.org/officeDocument/2006/relationships/hyperlink" Target="https://twitter.com/vox_es/status/1070648664102748162" TargetMode="External"/><Relationship Id="rId832" Type="http://schemas.openxmlformats.org/officeDocument/2006/relationships/hyperlink" Target="http://thoughtspensamientos.wordpress.com/" TargetMode="External"/><Relationship Id="rId1048" Type="http://schemas.openxmlformats.org/officeDocument/2006/relationships/hyperlink" Target="https://pbs.twimg.com/media/DtuHC1fWsAUxZGb.jpg" TargetMode="External"/><Relationship Id="rId1255" Type="http://schemas.openxmlformats.org/officeDocument/2006/relationships/hyperlink" Target="http://lavoz.gal/aatkt2" TargetMode="External"/><Relationship Id="rId1462" Type="http://schemas.openxmlformats.org/officeDocument/2006/relationships/hyperlink" Target="http://page.is/larevuelo53" TargetMode="External"/><Relationship Id="rId2085" Type="http://schemas.openxmlformats.org/officeDocument/2006/relationships/hyperlink" Target="https://twitter.com/cristinasegui_/status/1069912666301444096" TargetMode="External"/><Relationship Id="rId2292" Type="http://schemas.openxmlformats.org/officeDocument/2006/relationships/hyperlink" Target="https://www.elespanol.com/espana/politica/20181204/campana-firmas-ilegalizar-vox-anticonstitucional/358214954_0.html" TargetMode="External"/><Relationship Id="rId2306" Type="http://schemas.openxmlformats.org/officeDocument/2006/relationships/hyperlink" Target="https://youtu.be/P_j7baLjx28" TargetMode="External"/><Relationship Id="rId264" Type="http://schemas.openxmlformats.org/officeDocument/2006/relationships/hyperlink" Target="https://gyazo.com/a289da92620d0e44671d5ff35f8159e1" TargetMode="External"/><Relationship Id="rId471" Type="http://schemas.openxmlformats.org/officeDocument/2006/relationships/hyperlink" Target="https://www.instagram.com/p/BrFpx7sFuq2/?utm_source=ig_twitter_share&amp;igshid=131ojjs1gfvxn" TargetMode="External"/><Relationship Id="rId1115" Type="http://schemas.openxmlformats.org/officeDocument/2006/relationships/hyperlink" Target="https://pbs.twimg.com/media/DttGGBsWkAAMKJj.jpg" TargetMode="External"/><Relationship Id="rId1322" Type="http://schemas.openxmlformats.org/officeDocument/2006/relationships/hyperlink" Target="https://www.telecinco.es/elprogramadeanarosa/santiago-abascal-entrevista_0_2670150013.html?amp=true" TargetMode="External"/><Relationship Id="rId1767" Type="http://schemas.openxmlformats.org/officeDocument/2006/relationships/hyperlink" Target="https://pbs.twimg.com/media/DtpQ6e4XQAA0oX8.jpg" TargetMode="External"/><Relationship Id="rId1974" Type="http://schemas.openxmlformats.org/officeDocument/2006/relationships/hyperlink" Target="https://twitter.com/nostraeuropa/status/1070033909986050049" TargetMode="External"/><Relationship Id="rId2152" Type="http://schemas.openxmlformats.org/officeDocument/2006/relationships/hyperlink" Target="http://www.publico.es/publico-tv/" TargetMode="External"/><Relationship Id="rId59" Type="http://schemas.openxmlformats.org/officeDocument/2006/relationships/hyperlink" Target="https://twitter.com/sterlingmrch/status/1070681768687210496" TargetMode="External"/><Relationship Id="rId124" Type="http://schemas.openxmlformats.org/officeDocument/2006/relationships/hyperlink" Target="https://www.youtube.com/watch?time_continue=1&amp;v=Prmnr8VM4MA" TargetMode="External"/><Relationship Id="rId569" Type="http://schemas.openxmlformats.org/officeDocument/2006/relationships/hyperlink" Target="https://twitter.com/danierdecai35/status/1070800695945760768" TargetMode="External"/><Relationship Id="rId776" Type="http://schemas.openxmlformats.org/officeDocument/2006/relationships/hyperlink" Target="http://laboratorio-mabuse.blogspot.com/" TargetMode="External"/><Relationship Id="rId983" Type="http://schemas.openxmlformats.org/officeDocument/2006/relationships/hyperlink" Target="https://pbs.twimg.com/media/DtuhfEwW4AAo8bz.jpg" TargetMode="External"/><Relationship Id="rId1199" Type="http://schemas.openxmlformats.org/officeDocument/2006/relationships/hyperlink" Target="https://twitter.com/ElHuffPost/status/1069546792860012544" TargetMode="External"/><Relationship Id="rId1627" Type="http://schemas.openxmlformats.org/officeDocument/2006/relationships/hyperlink" Target="https://pbs.twimg.com/media/Dtp1DH-X4AA9n9h.jpg" TargetMode="External"/><Relationship Id="rId1834" Type="http://schemas.openxmlformats.org/officeDocument/2006/relationships/hyperlink" Target="http://www.voxespana.es/" TargetMode="External"/><Relationship Id="rId331" Type="http://schemas.openxmlformats.org/officeDocument/2006/relationships/hyperlink" Target="http://directoalmentonjosequijadarubira.blogspot.com.es/" TargetMode="External"/><Relationship Id="rId429" Type="http://schemas.openxmlformats.org/officeDocument/2006/relationships/hyperlink" Target="https://pbs.twimg.com/media/Dtq0aryW0AEa-YT.jpg" TargetMode="External"/><Relationship Id="rId636" Type="http://schemas.openxmlformats.org/officeDocument/2006/relationships/hyperlink" Target="https://pbs.twimg.com/media/Dtyu-zkW0AUt6qx.jpg" TargetMode="External"/><Relationship Id="rId1059" Type="http://schemas.openxmlformats.org/officeDocument/2006/relationships/hyperlink" Target="http://www.esdiario.com/" TargetMode="External"/><Relationship Id="rId1266" Type="http://schemas.openxmlformats.org/officeDocument/2006/relationships/hyperlink" Target="https://pbs.twimg.com/media/DtpVn2DXcAI-u0y.jpg" TargetMode="External"/><Relationship Id="rId1473" Type="http://schemas.openxmlformats.org/officeDocument/2006/relationships/hyperlink" Target="https://youtu.be/xh72exxWHqA" TargetMode="External"/><Relationship Id="rId2012" Type="http://schemas.openxmlformats.org/officeDocument/2006/relationships/hyperlink" Target="https://www.facebook.com/carmelodifazioescritor/" TargetMode="External"/><Relationship Id="rId2096" Type="http://schemas.openxmlformats.org/officeDocument/2006/relationships/hyperlink" Target="https://cordopolis.es/2018/12/04/la-manifestacion-antifascista-corta-el-trafico-en-el-centro-de-la-capital/" TargetMode="External"/><Relationship Id="rId2317" Type="http://schemas.openxmlformats.org/officeDocument/2006/relationships/hyperlink" Target="https://twitter.com/MarioNoyaM/status/1069683740702588930" TargetMode="External"/><Relationship Id="rId843" Type="http://schemas.openxmlformats.org/officeDocument/2006/relationships/hyperlink" Target="https://www.facebook.com/adayQG?fref=ts" TargetMode="External"/><Relationship Id="rId1126" Type="http://schemas.openxmlformats.org/officeDocument/2006/relationships/hyperlink" Target="http://abogados-sevilla.blogspot.com.es/" TargetMode="External"/><Relationship Id="rId1680" Type="http://schemas.openxmlformats.org/officeDocument/2006/relationships/hyperlink" Target="https://twitter.com/HispaniaFortius" TargetMode="External"/><Relationship Id="rId1778" Type="http://schemas.openxmlformats.org/officeDocument/2006/relationships/hyperlink" Target="https://pbs.twimg.com/media/DtpOqqQW0AATpa8.jpg" TargetMode="External"/><Relationship Id="rId1901" Type="http://schemas.openxmlformats.org/officeDocument/2006/relationships/hyperlink" Target="https://pbs.twimg.com/media/Dtou-paWwAAolBS.jpg" TargetMode="External"/><Relationship Id="rId1985" Type="http://schemas.openxmlformats.org/officeDocument/2006/relationships/hyperlink" Target="https://pbs.twimg.com/media/DtloqrOWsAYfPWD.jpg" TargetMode="External"/><Relationship Id="rId275" Type="http://schemas.openxmlformats.org/officeDocument/2006/relationships/hyperlink" Target="https://twitter.com/protestona1/status/1071096709000949760" TargetMode="External"/><Relationship Id="rId482" Type="http://schemas.openxmlformats.org/officeDocument/2006/relationships/hyperlink" Target="https://pbs.twimg.com/media/Dt0RIT4WoAAFUmg.jpg" TargetMode="External"/><Relationship Id="rId703" Type="http://schemas.openxmlformats.org/officeDocument/2006/relationships/hyperlink" Target="https://twitter.com/sterlingmrch/status/1070681768687210496" TargetMode="External"/><Relationship Id="rId910" Type="http://schemas.openxmlformats.org/officeDocument/2006/relationships/hyperlink" Target="http://sevilla.abc.es/andalucia/" TargetMode="External"/><Relationship Id="rId1333" Type="http://schemas.openxmlformats.org/officeDocument/2006/relationships/hyperlink" Target="https://www.youtube.com/CarlosJericho" TargetMode="External"/><Relationship Id="rId1540" Type="http://schemas.openxmlformats.org/officeDocument/2006/relationships/hyperlink" Target="https://justoperezblog.wordpress.com/" TargetMode="External"/><Relationship Id="rId1638" Type="http://schemas.openxmlformats.org/officeDocument/2006/relationships/hyperlink" Target="http://youtu.be/bCVXuoyQBsc?a" TargetMode="External"/><Relationship Id="rId2163" Type="http://schemas.openxmlformats.org/officeDocument/2006/relationships/hyperlink" Target="http://www.bitmomentum.com/" TargetMode="External"/><Relationship Id="rId2370" Type="http://schemas.openxmlformats.org/officeDocument/2006/relationships/hyperlink" Target="http://ddalmeria.info/w_o2g1" TargetMode="External"/><Relationship Id="rId135" Type="http://schemas.openxmlformats.org/officeDocument/2006/relationships/hyperlink" Target="https://youtu.be/oIMxo0mWe0Q" TargetMode="External"/><Relationship Id="rId342" Type="http://schemas.openxmlformats.org/officeDocument/2006/relationships/hyperlink" Target="http://www.aizcorbe.com/" TargetMode="External"/><Relationship Id="rId787" Type="http://schemas.openxmlformats.org/officeDocument/2006/relationships/hyperlink" Target="https://twitter.com/lbalcarce/status/1070599229394092033" TargetMode="External"/><Relationship Id="rId994" Type="http://schemas.openxmlformats.org/officeDocument/2006/relationships/hyperlink" Target="https://youtu.be/EdpZF3nLMF8" TargetMode="External"/><Relationship Id="rId1400" Type="http://schemas.openxmlformats.org/officeDocument/2006/relationships/hyperlink" Target="https://www.elindependiente.com/politica/2018/12/05/otegi-pide-no-poner-tanto-foco-vox-situarlo-casado/?utm_source=share_buttons&amp;utm_medium=twitter&amp;utm_campaign=social_share2" TargetMode="External"/><Relationship Id="rId1845" Type="http://schemas.openxmlformats.org/officeDocument/2006/relationships/hyperlink" Target="http://www.elcorreodemadrid.com/" TargetMode="External"/><Relationship Id="rId2023" Type="http://schemas.openxmlformats.org/officeDocument/2006/relationships/hyperlink" Target="https://www.elespanol.com/espana/20181204/sanchez-adelante-miedo-vox-razon-elogia-abascal/358215525_0.html" TargetMode="External"/><Relationship Id="rId2230" Type="http://schemas.openxmlformats.org/officeDocument/2006/relationships/hyperlink" Target="http://ww.cope.es/u1iun1" TargetMode="External"/><Relationship Id="rId202" Type="http://schemas.openxmlformats.org/officeDocument/2006/relationships/hyperlink" Target="https://twitter.com/pnique/status/1070344137008918528" TargetMode="External"/><Relationship Id="rId647" Type="http://schemas.openxmlformats.org/officeDocument/2006/relationships/hyperlink" Target="https://pbs.twimg.com/media/DtxQI2KXQAAccHc.jpg" TargetMode="External"/><Relationship Id="rId854" Type="http://schemas.openxmlformats.org/officeDocument/2006/relationships/hyperlink" Target="https://youtu.be/3RkLe1Z7hp4" TargetMode="External"/><Relationship Id="rId1277" Type="http://schemas.openxmlformats.org/officeDocument/2006/relationships/hyperlink" Target="http://www.westerosofwinterfell.foroactivo.com/" TargetMode="External"/><Relationship Id="rId1484" Type="http://schemas.openxmlformats.org/officeDocument/2006/relationships/hyperlink" Target="https://pbs.twimg.com/media/DtqeerEW4AIiX1i.jpg" TargetMode="External"/><Relationship Id="rId1691" Type="http://schemas.openxmlformats.org/officeDocument/2006/relationships/hyperlink" Target="https://twitter.com/elanalista17/status/1070256233033150464" TargetMode="External"/><Relationship Id="rId1705" Type="http://schemas.openxmlformats.org/officeDocument/2006/relationships/hyperlink" Target="http://www.eitb.eus/es/television/programas/en-jake/" TargetMode="External"/><Relationship Id="rId1912" Type="http://schemas.openxmlformats.org/officeDocument/2006/relationships/hyperlink" Target="http://pic.twitter.com/qfZts9MjEW" TargetMode="External"/><Relationship Id="rId2328" Type="http://schemas.openxmlformats.org/officeDocument/2006/relationships/hyperlink" Target="https://listography.com/OneWingedTan" TargetMode="External"/><Relationship Id="rId286" Type="http://schemas.openxmlformats.org/officeDocument/2006/relationships/hyperlink" Target="https://www.elplural.com/comunicacion/jordi-evole-salvados-se-infiltran-en-vox_207698102" TargetMode="External"/><Relationship Id="rId493" Type="http://schemas.openxmlformats.org/officeDocument/2006/relationships/hyperlink" Target="http://www.voxespana.es/" TargetMode="External"/><Relationship Id="rId507" Type="http://schemas.openxmlformats.org/officeDocument/2006/relationships/hyperlink" Target="https://elpais.com/diario/2006/03/18/opinion/1142636405_850215.html" TargetMode="External"/><Relationship Id="rId714" Type="http://schemas.openxmlformats.org/officeDocument/2006/relationships/hyperlink" Target="http://pic.twitter.com/Po9w6uFBKL" TargetMode="External"/><Relationship Id="rId921" Type="http://schemas.openxmlformats.org/officeDocument/2006/relationships/hyperlink" Target="https://pbs.twimg.com/media/DtpSIPMWsAA8nMe.jpg" TargetMode="External"/><Relationship Id="rId1137" Type="http://schemas.openxmlformats.org/officeDocument/2006/relationships/hyperlink" Target="https://espadaypluma.com/" TargetMode="External"/><Relationship Id="rId1344" Type="http://schemas.openxmlformats.org/officeDocument/2006/relationships/hyperlink" Target="http://www.vinalopodigital.net/" TargetMode="External"/><Relationship Id="rId1551" Type="http://schemas.openxmlformats.org/officeDocument/2006/relationships/hyperlink" Target="https://www.maximodalmau.com/" TargetMode="External"/><Relationship Id="rId1789" Type="http://schemas.openxmlformats.org/officeDocument/2006/relationships/hyperlink" Target="http://instagram.com/revol_es" TargetMode="External"/><Relationship Id="rId1996" Type="http://schemas.openxmlformats.org/officeDocument/2006/relationships/hyperlink" Target="https://youtu.be/RaSIX4-RPAI" TargetMode="External"/><Relationship Id="rId2174" Type="http://schemas.openxmlformats.org/officeDocument/2006/relationships/hyperlink" Target="https://www.abc.es/espana/abci-ciudadanos-roba-diez-escanos-psoe-y-queda-seis-pp-201812032118_noticia.html" TargetMode="External"/><Relationship Id="rId2381" Type="http://schemas.openxmlformats.org/officeDocument/2006/relationships/hyperlink" Target="https://pbs.twimg.com/media/DtlGfNYWwAYUZXv.png" TargetMode="External"/><Relationship Id="rId50" Type="http://schemas.openxmlformats.org/officeDocument/2006/relationships/hyperlink" Target="https://diariopatriota.com/las-afiliaciones-a-vox-se-disparan-ya-hay-mas-de-20-000-afiliados-y-estan-cerca-de-superar-a-ciudadanos/" TargetMode="External"/><Relationship Id="rId146" Type="http://schemas.openxmlformats.org/officeDocument/2006/relationships/hyperlink" Target="https://okdiario.com/espana/2018/12/08/vox-crecera-grandes-ciudades-mas-inmigracion-ganara-mas-voto-izquierda-3431265" TargetMode="External"/><Relationship Id="rId353" Type="http://schemas.openxmlformats.org/officeDocument/2006/relationships/hyperlink" Target="https://mailchi.mp/e831ff79b9e8/plataformaaida" TargetMode="External"/><Relationship Id="rId560" Type="http://schemas.openxmlformats.org/officeDocument/2006/relationships/hyperlink" Target="https://pbs.twimg.com/media/Dtzj9DUW4AAPLiN.jpg" TargetMode="External"/><Relationship Id="rId798" Type="http://schemas.openxmlformats.org/officeDocument/2006/relationships/hyperlink" Target="https://www.libertaddigital.com/opinion/santiago-abascal/pablo-el-infierno-mismo-78791/" TargetMode="External"/><Relationship Id="rId1190" Type="http://schemas.openxmlformats.org/officeDocument/2006/relationships/hyperlink" Target="https://pbs.twimg.com/media/Dtr5oa2W0AAe32Q.jpg" TargetMode="External"/><Relationship Id="rId1204" Type="http://schemas.openxmlformats.org/officeDocument/2006/relationships/hyperlink" Target="http://www.voxespana.es/" TargetMode="External"/><Relationship Id="rId1411" Type="http://schemas.openxmlformats.org/officeDocument/2006/relationships/hyperlink" Target="http://www.onbyte.es/" TargetMode="External"/><Relationship Id="rId1649" Type="http://schemas.openxmlformats.org/officeDocument/2006/relationships/hyperlink" Target="https://pbs.twimg.com/media/DtptISwXgAAIHpg.jpg" TargetMode="External"/><Relationship Id="rId1856" Type="http://schemas.openxmlformats.org/officeDocument/2006/relationships/hyperlink" Target="https://pbs.twimg.com/media/Dto7F0XW4AE9YXq.jpg" TargetMode="External"/><Relationship Id="rId2034" Type="http://schemas.openxmlformats.org/officeDocument/2006/relationships/hyperlink" Target="http://pic.twitter.com/N2q13bypfb" TargetMode="External"/><Relationship Id="rId2241" Type="http://schemas.openxmlformats.org/officeDocument/2006/relationships/hyperlink" Target="https://youtu.be/XzrkufnSA10" TargetMode="External"/><Relationship Id="rId213" Type="http://schemas.openxmlformats.org/officeDocument/2006/relationships/hyperlink" Target="https://www.libertaddigital.com/opinion/francisco-jose-contreras/las-razones-del-exito-de-vox-86675/" TargetMode="External"/><Relationship Id="rId420" Type="http://schemas.openxmlformats.org/officeDocument/2006/relationships/hyperlink" Target="https://youtu.be/UUfCibJd6oM" TargetMode="External"/><Relationship Id="rId658" Type="http://schemas.openxmlformats.org/officeDocument/2006/relationships/hyperlink" Target="http://pic.twitter.com/C3ANtKQI5e" TargetMode="External"/><Relationship Id="rId865" Type="http://schemas.openxmlformats.org/officeDocument/2006/relationships/hyperlink" Target="https://twitter.com/thecentenator/status/1070371737093713926" TargetMode="External"/><Relationship Id="rId1050" Type="http://schemas.openxmlformats.org/officeDocument/2006/relationships/hyperlink" Target="https://twitter.com/pnique/status/1070344137008918528" TargetMode="External"/><Relationship Id="rId1288" Type="http://schemas.openxmlformats.org/officeDocument/2006/relationships/hyperlink" Target="https://youtu.be/S8_g6JS2z24" TargetMode="External"/><Relationship Id="rId1495" Type="http://schemas.openxmlformats.org/officeDocument/2006/relationships/hyperlink" Target="https://youtu.be/xh72exxWHqA" TargetMode="External"/><Relationship Id="rId1509" Type="http://schemas.openxmlformats.org/officeDocument/2006/relationships/hyperlink" Target="http://www.instagram.com/marinamolina1310" TargetMode="External"/><Relationship Id="rId1716" Type="http://schemas.openxmlformats.org/officeDocument/2006/relationships/hyperlink" Target="https://www.facebook.com/1123011491044860/posts/2267549676591030/" TargetMode="External"/><Relationship Id="rId1923" Type="http://schemas.openxmlformats.org/officeDocument/2006/relationships/hyperlink" Target="https://www.voxespana.es/los-afiliados-de-vox-se-beneficiaran-de-un-descuento-del-50-en-el-master-en-gobernanza-marketing-politico-y-comunicacion-estrategica-de-la-urjc" TargetMode="External"/><Relationship Id="rId2101" Type="http://schemas.openxmlformats.org/officeDocument/2006/relationships/hyperlink" Target="http://www.bitmomentum.com/" TargetMode="External"/><Relationship Id="rId2339" Type="http://schemas.openxmlformats.org/officeDocument/2006/relationships/hyperlink" Target="https://www.diaribalear.es/se-deben-ilegalizar-los-partidos-que-afirman-no-acatar-los-resultados-de-las-elecciones-y-llaman-a-la-violencia-callejera/" TargetMode="External"/><Relationship Id="rId297" Type="http://schemas.openxmlformats.org/officeDocument/2006/relationships/hyperlink" Target="https://pbs.twimg.com/media/Dt0M4JAWkAMn1f7.jpg" TargetMode="External"/><Relationship Id="rId518" Type="http://schemas.openxmlformats.org/officeDocument/2006/relationships/hyperlink" Target="http://pic.twitter.com/LMejRmOydb" TargetMode="External"/><Relationship Id="rId725" Type="http://schemas.openxmlformats.org/officeDocument/2006/relationships/hyperlink" Target="https://twitter.com/hermanntertsch/status/1070625337036455938" TargetMode="External"/><Relationship Id="rId932" Type="http://schemas.openxmlformats.org/officeDocument/2006/relationships/hyperlink" Target="https://pbs.twimg.com/media/Dtu2G-HWsAESoV0.jpg" TargetMode="External"/><Relationship Id="rId1148" Type="http://schemas.openxmlformats.org/officeDocument/2006/relationships/hyperlink" Target="https://twitter.com/manueljarias/status/1070460295339040769" TargetMode="External"/><Relationship Id="rId1355" Type="http://schemas.openxmlformats.org/officeDocument/2006/relationships/hyperlink" Target="https://www.google.es/amp/s/www.elconfidencial.com/amp/elecciones-andalucia/2018-12-04/santiago-abascal-canal-sur-vox_1685166/" TargetMode="External"/><Relationship Id="rId1562" Type="http://schemas.openxmlformats.org/officeDocument/2006/relationships/hyperlink" Target="http://www.instagram.com/luispitton" TargetMode="External"/><Relationship Id="rId2185" Type="http://schemas.openxmlformats.org/officeDocument/2006/relationships/hyperlink" Target="https://youtu.be/S8_g6JS2z24" TargetMode="External"/><Relationship Id="rId2392" Type="http://schemas.openxmlformats.org/officeDocument/2006/relationships/hyperlink" Target="http://albertosanzblanco.wordpress.com/" TargetMode="External"/><Relationship Id="rId157" Type="http://schemas.openxmlformats.org/officeDocument/2006/relationships/hyperlink" Target="https://www.eldiestro.es/2018/10/el-lider-de-vox-santi-abascal-pone-a-pablo-echenique-en-su-sitio-venga-echenique-vete-a-por-otra/" TargetMode="External"/><Relationship Id="rId364" Type="http://schemas.openxmlformats.org/officeDocument/2006/relationships/hyperlink" Target="https://twitter.com/sanchezdelreal/status/1070804427131494401" TargetMode="External"/><Relationship Id="rId1008" Type="http://schemas.openxmlformats.org/officeDocument/2006/relationships/hyperlink" Target="https://m.facebook.com/?_rdr" TargetMode="External"/><Relationship Id="rId1215" Type="http://schemas.openxmlformats.org/officeDocument/2006/relationships/hyperlink" Target="http://beyonce.com/" TargetMode="External"/><Relationship Id="rId1422" Type="http://schemas.openxmlformats.org/officeDocument/2006/relationships/hyperlink" Target="https://www.youtube.com/watch?v=mnZtk1O8TMo" TargetMode="External"/><Relationship Id="rId1867" Type="http://schemas.openxmlformats.org/officeDocument/2006/relationships/hyperlink" Target="https://www.cope.es/n/304935" TargetMode="External"/><Relationship Id="rId2045" Type="http://schemas.openxmlformats.org/officeDocument/2006/relationships/hyperlink" Target="https://www.youtube.com/watch?v=oIMxo0mWe0Q" TargetMode="External"/><Relationship Id="rId61" Type="http://schemas.openxmlformats.org/officeDocument/2006/relationships/hyperlink" Target="https://twitter.com/camilotxo/status/669531960730062849" TargetMode="External"/><Relationship Id="rId571" Type="http://schemas.openxmlformats.org/officeDocument/2006/relationships/hyperlink" Target="https://www.cope.es/n/305975" TargetMode="External"/><Relationship Id="rId669" Type="http://schemas.openxmlformats.org/officeDocument/2006/relationships/hyperlink" Target="http://pic.twitter.com/RQ24059gzP" TargetMode="External"/><Relationship Id="rId876" Type="http://schemas.openxmlformats.org/officeDocument/2006/relationships/hyperlink" Target="https://pbs.twimg.com/media/DtvUQ4oWsAEIx_9.jpg" TargetMode="External"/><Relationship Id="rId1299" Type="http://schemas.openxmlformats.org/officeDocument/2006/relationships/hyperlink" Target="https://pbs.twimg.com/media/DtpSIPMWsAA8nMe.jpg" TargetMode="External"/><Relationship Id="rId1727" Type="http://schemas.openxmlformats.org/officeDocument/2006/relationships/hyperlink" Target="http://www.periodistadigital.tv/lo-que-decia-santi-abascal-justo-antes-de-dejar-el-pp-y-cuando-ni-planeaba-vox_436ba39f4.html" TargetMode="External"/><Relationship Id="rId1934" Type="http://schemas.openxmlformats.org/officeDocument/2006/relationships/hyperlink" Target="https://pbs.twimg.com/media/DtmEXDQW0AAXndH.jpg" TargetMode="External"/><Relationship Id="rId2252" Type="http://schemas.openxmlformats.org/officeDocument/2006/relationships/hyperlink" Target="https://youtu.be/S8_g6JS2z24" TargetMode="External"/><Relationship Id="rId19" Type="http://schemas.openxmlformats.org/officeDocument/2006/relationships/hyperlink" Target="https://pbs.twimg.com/media/Dt59L-PWsAYeYAN.jpg" TargetMode="External"/><Relationship Id="rId224" Type="http://schemas.openxmlformats.org/officeDocument/2006/relationships/hyperlink" Target="https://www.periodistadigital.com/periodismo/tv/2018/12/07/ensalada-de-criticas-a-pedrojota-ramirez-por-lanzarse-al-cuello-de-ana-rosa-quintana-por-segun-el-humanizar-a-un-lider-de-extrema-derecha.shtml" TargetMode="External"/><Relationship Id="rId431" Type="http://schemas.openxmlformats.org/officeDocument/2006/relationships/hyperlink" Target="http://www.malostratosfalsos.com/" TargetMode="External"/><Relationship Id="rId529" Type="http://schemas.openxmlformats.org/officeDocument/2006/relationships/hyperlink" Target="https://pbs.twimg.com/media/Dtz2ZJ3XcAE7Q5A.jpg" TargetMode="External"/><Relationship Id="rId736" Type="http://schemas.openxmlformats.org/officeDocument/2006/relationships/hyperlink" Target="https://www.lasexta.com/noticias/nacional/la-pillada-a-santiago-abascal-que-muestra-que-ni-si-quiera-sabe-como-cerrar-canal-sur-aunque-le-apoyara-el-pp-video_201812065c09494e0cf2d96fe2fb0691.html" TargetMode="External"/><Relationship Id="rId1061" Type="http://schemas.openxmlformats.org/officeDocument/2006/relationships/hyperlink" Target="https://pbs.twimg.com/media/DtkqLocWkAABjXQ.jpg" TargetMode="External"/><Relationship Id="rId1159" Type="http://schemas.openxmlformats.org/officeDocument/2006/relationships/hyperlink" Target="https://www.azamblea.org/" TargetMode="External"/><Relationship Id="rId1366" Type="http://schemas.openxmlformats.org/officeDocument/2006/relationships/hyperlink" Target="http://www.bitmomentum.com/" TargetMode="External"/><Relationship Id="rId2112" Type="http://schemas.openxmlformats.org/officeDocument/2006/relationships/hyperlink" Target="https://twitter.com/Evlex_" TargetMode="External"/><Relationship Id="rId2196" Type="http://schemas.openxmlformats.org/officeDocument/2006/relationships/hyperlink" Target="http://es.followfriday.com/followfriday/lunadelsur2012" TargetMode="External"/><Relationship Id="rId168" Type="http://schemas.openxmlformats.org/officeDocument/2006/relationships/hyperlink" Target="http://lrzn.es/alfz75" TargetMode="External"/><Relationship Id="rId943" Type="http://schemas.openxmlformats.org/officeDocument/2006/relationships/hyperlink" Target="https://twitter.com/lbalcarce/status/1070599229394092033" TargetMode="External"/><Relationship Id="rId1019" Type="http://schemas.openxmlformats.org/officeDocument/2006/relationships/hyperlink" Target="http://pic.twitter.com/kORW9EPm2X" TargetMode="External"/><Relationship Id="rId1573" Type="http://schemas.openxmlformats.org/officeDocument/2006/relationships/hyperlink" Target="http://www.instagram.com/fonsiloaiza" TargetMode="External"/><Relationship Id="rId1780" Type="http://schemas.openxmlformats.org/officeDocument/2006/relationships/hyperlink" Target="http://bit.ly/2rlQI5J" TargetMode="External"/><Relationship Id="rId1878" Type="http://schemas.openxmlformats.org/officeDocument/2006/relationships/hyperlink" Target="https://pbs.twimg.com/media/Dto6vkpXQAAIlvx.jpg" TargetMode="External"/><Relationship Id="rId72" Type="http://schemas.openxmlformats.org/officeDocument/2006/relationships/hyperlink" Target="https://pbs.twimg.com/media/Dt5LPo_XQAA_NdB.jpg" TargetMode="External"/><Relationship Id="rId375" Type="http://schemas.openxmlformats.org/officeDocument/2006/relationships/hyperlink" Target="https://pbs.twimg.com/media/Dt1H1qtWoAcivNZ.jpg" TargetMode="External"/><Relationship Id="rId582" Type="http://schemas.openxmlformats.org/officeDocument/2006/relationships/hyperlink" Target="http://www.burladero.tv/" TargetMode="External"/><Relationship Id="rId803" Type="http://schemas.openxmlformats.org/officeDocument/2006/relationships/hyperlink" Target="http://www.plafarma.org/" TargetMode="External"/><Relationship Id="rId1226" Type="http://schemas.openxmlformats.org/officeDocument/2006/relationships/hyperlink" Target="http://pic.twitter.com/hNGxlsIz8P" TargetMode="External"/><Relationship Id="rId1433" Type="http://schemas.openxmlformats.org/officeDocument/2006/relationships/hyperlink" Target="https://www.libertaddigital.com/espana/2018-12-05/la-llamada-de-pablo-iglesias-a-la-violencia-contra-las-urnas-da-miedo-quien-es-el-fascista-1276629392/" TargetMode="External"/><Relationship Id="rId1640" Type="http://schemas.openxmlformats.org/officeDocument/2006/relationships/hyperlink" Target="https://www.telecinco.es/elprogramadeanarosa/entrevista-completa-lider-vox_2_2670180051.html" TargetMode="External"/><Relationship Id="rId1738" Type="http://schemas.openxmlformats.org/officeDocument/2006/relationships/hyperlink" Target="http://www.telecinco.es/elprogramadeanarosa" TargetMode="External"/><Relationship Id="rId2056" Type="http://schemas.openxmlformats.org/officeDocument/2006/relationships/hyperlink" Target="https://twitter.com/NoSoyLaGente/status/1069859191467200512" TargetMode="External"/><Relationship Id="rId2263" Type="http://schemas.openxmlformats.org/officeDocument/2006/relationships/hyperlink" Target="https://elpais.com/politica/2018/12/04/actualidad/1543928361_948093.html" TargetMode="External"/><Relationship Id="rId3" Type="http://schemas.openxmlformats.org/officeDocument/2006/relationships/hyperlink" Target="https://www.sevillainfo.es/noticias-de-andalucia/el-periodista-luis-baras-escribe-una-carta-a-santiago-abascal-en-defensa-de-los-trabajadores-de-canal-sur/" TargetMode="External"/><Relationship Id="rId235" Type="http://schemas.openxmlformats.org/officeDocument/2006/relationships/hyperlink" Target="http://www.bitmomentum.com/" TargetMode="External"/><Relationship Id="rId442" Type="http://schemas.openxmlformats.org/officeDocument/2006/relationships/hyperlink" Target="http://bit.ly/2UthYwv" TargetMode="External"/><Relationship Id="rId887" Type="http://schemas.openxmlformats.org/officeDocument/2006/relationships/hyperlink" Target="https://www.youtube.com/watch?v=J0xfknaNOrM&amp;t=" TargetMode="External"/><Relationship Id="rId1072" Type="http://schemas.openxmlformats.org/officeDocument/2006/relationships/hyperlink" Target="http://unpobrecitohablador.tumblr.com/" TargetMode="External"/><Relationship Id="rId1500" Type="http://schemas.openxmlformats.org/officeDocument/2006/relationships/hyperlink" Target="http://www.irannis.com/" TargetMode="External"/><Relationship Id="rId1945" Type="http://schemas.openxmlformats.org/officeDocument/2006/relationships/hyperlink" Target="http://unpobrecitohablador.tumblr.com/" TargetMode="External"/><Relationship Id="rId2123" Type="http://schemas.openxmlformats.org/officeDocument/2006/relationships/hyperlink" Target="https://twitter.com/anarosaq/status/1070034841066983427" TargetMode="External"/><Relationship Id="rId2330" Type="http://schemas.openxmlformats.org/officeDocument/2006/relationships/hyperlink" Target="https://pbs.twimg.com/media/DtkzoYBWsAA2TXT.jpg" TargetMode="External"/><Relationship Id="rId302" Type="http://schemas.openxmlformats.org/officeDocument/2006/relationships/hyperlink" Target="http://www.periodistadigital.com/periodismo/tv/2018/12/07/nueva-burla-vox-escocidito-evole-cuesta-memorable-bano-twitter-sanguijuela-santi-abascal.shtml" TargetMode="External"/><Relationship Id="rId747" Type="http://schemas.openxmlformats.org/officeDocument/2006/relationships/hyperlink" Target="http://www.laboratoriodeortodonciajesuspineda.com/" TargetMode="External"/><Relationship Id="rId954" Type="http://schemas.openxmlformats.org/officeDocument/2006/relationships/hyperlink" Target="http://www.plafarma.org/" TargetMode="External"/><Relationship Id="rId1377" Type="http://schemas.openxmlformats.org/officeDocument/2006/relationships/hyperlink" Target="http://www.elplural.com/users/adri-n-lardiez" TargetMode="External"/><Relationship Id="rId1584" Type="http://schemas.openxmlformats.org/officeDocument/2006/relationships/hyperlink" Target="https://www.elindependiente.com/politica/2018/12/05/pp-dispuesto-estudiar-la-peticion-vox-cerrar-canal-sur/?utm_source=share_buttons&amp;utm_medium=twitter&amp;utm_campaign=social_share2" TargetMode="External"/><Relationship Id="rId1791" Type="http://schemas.openxmlformats.org/officeDocument/2006/relationships/hyperlink" Target="https://pbs.twimg.com/media/DtpLoA-WsAIXDh9.jpg" TargetMode="External"/><Relationship Id="rId1805" Type="http://schemas.openxmlformats.org/officeDocument/2006/relationships/hyperlink" Target="https://www.voxespana.es/afiliarse-a-vox" TargetMode="External"/><Relationship Id="rId83" Type="http://schemas.openxmlformats.org/officeDocument/2006/relationships/hyperlink" Target="https://pbs.twimg.com/media/Dt5AWUkXcAA3pAo.jpg" TargetMode="External"/><Relationship Id="rId179" Type="http://schemas.openxmlformats.org/officeDocument/2006/relationships/hyperlink" Target="https://twitter.com/CervantesFAQs/status/1071142892469710848" TargetMode="External"/><Relationship Id="rId386" Type="http://schemas.openxmlformats.org/officeDocument/2006/relationships/hyperlink" Target="http://instagram.com/teodorovox" TargetMode="External"/><Relationship Id="rId593" Type="http://schemas.openxmlformats.org/officeDocument/2006/relationships/hyperlink" Target="https://pbs.twimg.com/media/DtuB5zSXcAEIju8.jpg" TargetMode="External"/><Relationship Id="rId607" Type="http://schemas.openxmlformats.org/officeDocument/2006/relationships/hyperlink" Target="https://www.diaribalear.es/el-psoe-provoca-que-los-espanoles-no-confien-en-las-instituciones-para-resolver-los-problemas/" TargetMode="External"/><Relationship Id="rId814" Type="http://schemas.openxmlformats.org/officeDocument/2006/relationships/hyperlink" Target="https://bit.ly/2QAnHBw" TargetMode="External"/><Relationship Id="rId1237" Type="http://schemas.openxmlformats.org/officeDocument/2006/relationships/hyperlink" Target="http://desdelafabrica.wordpress.com/" TargetMode="External"/><Relationship Id="rId1444" Type="http://schemas.openxmlformats.org/officeDocument/2006/relationships/hyperlink" Target="https://twitter.com/Twitter/status/1068174887372632066" TargetMode="External"/><Relationship Id="rId1651" Type="http://schemas.openxmlformats.org/officeDocument/2006/relationships/hyperlink" Target="https://www.eljueves.es/temazo/verdad-sobre-santiago-abascal_2997" TargetMode="External"/><Relationship Id="rId1889" Type="http://schemas.openxmlformats.org/officeDocument/2006/relationships/hyperlink" Target="http://www.telecinco.es/" TargetMode="External"/><Relationship Id="rId2067" Type="http://schemas.openxmlformats.org/officeDocument/2006/relationships/hyperlink" Target="https://m.youtube.com/watch?v=S8_g6JS2z24&amp;feature=youtu.be" TargetMode="External"/><Relationship Id="rId2274" Type="http://schemas.openxmlformats.org/officeDocument/2006/relationships/hyperlink" Target="https://www.eldiario.es/_32357ec3" TargetMode="External"/><Relationship Id="rId246" Type="http://schemas.openxmlformats.org/officeDocument/2006/relationships/hyperlink" Target="http://www.ondacero.es/programas/la-brujula/" TargetMode="External"/><Relationship Id="rId453" Type="http://schemas.openxmlformats.org/officeDocument/2006/relationships/hyperlink" Target="https://totbalears.com/" TargetMode="External"/><Relationship Id="rId660" Type="http://schemas.openxmlformats.org/officeDocument/2006/relationships/hyperlink" Target="https://twitter.com/doguionrego/status/1070829257797103616" TargetMode="External"/><Relationship Id="rId898" Type="http://schemas.openxmlformats.org/officeDocument/2006/relationships/hyperlink" Target="https://twitter.com/doctorYekyll/status/1070443182356353024" TargetMode="External"/><Relationship Id="rId1083" Type="http://schemas.openxmlformats.org/officeDocument/2006/relationships/hyperlink" Target="https://www.periodistadigital.com/politica/partidos-politicos/2018/12/06/el-ultra-de-extrema-izquierda-echenique-compara-a-abascal-son-torrente-y-las-redes-lo-fulminan.shtml" TargetMode="External"/><Relationship Id="rId1290" Type="http://schemas.openxmlformats.org/officeDocument/2006/relationships/hyperlink" Target="https://newtral.es/fact-check/santiago-abascal-las-mujeres-asesinadas-en-espana-han-sido-mayoritariamente-a-manos-de-extranjeros/" TargetMode="External"/><Relationship Id="rId1304" Type="http://schemas.openxmlformats.org/officeDocument/2006/relationships/hyperlink" Target="http://bit.ly/2SvMAf0" TargetMode="External"/><Relationship Id="rId1511" Type="http://schemas.openxmlformats.org/officeDocument/2006/relationships/hyperlink" Target="https://www.larazon.es/carrusel-de-noticias" TargetMode="External"/><Relationship Id="rId1749" Type="http://schemas.openxmlformats.org/officeDocument/2006/relationships/hyperlink" Target="https://pbs.twimg.com/media/DtpSIPMWsAA8nMe.jpg" TargetMode="External"/><Relationship Id="rId1956" Type="http://schemas.openxmlformats.org/officeDocument/2006/relationships/hyperlink" Target="https://pbs.twimg.com/media/DtocxbPW0AAfz96.jpg" TargetMode="External"/><Relationship Id="rId2134" Type="http://schemas.openxmlformats.org/officeDocument/2006/relationships/hyperlink" Target="https://twitter.com/ivanedlm/status/1070037563619098624" TargetMode="External"/><Relationship Id="rId2341" Type="http://schemas.openxmlformats.org/officeDocument/2006/relationships/hyperlink" Target="https://maldita.es/malditodato/cuando-abascal-cobraba-mas-que-el-presidente-del-gobierno-por-cargos-a-dedo-pagados-con-dinero-publico/" TargetMode="External"/><Relationship Id="rId106" Type="http://schemas.openxmlformats.org/officeDocument/2006/relationships/hyperlink" Target="https://twitter.com/danierdecai35/status/1070800695945760768" TargetMode="External"/><Relationship Id="rId313" Type="http://schemas.openxmlformats.org/officeDocument/2006/relationships/hyperlink" Target="https://pbs.twimg.com/media/Dtkuw5oXcAIO9xZ.jpg" TargetMode="External"/><Relationship Id="rId758" Type="http://schemas.openxmlformats.org/officeDocument/2006/relationships/hyperlink" Target="https://m.facebook.com/?_rdr" TargetMode="External"/><Relationship Id="rId965" Type="http://schemas.openxmlformats.org/officeDocument/2006/relationships/hyperlink" Target="https://pbs.twimg.com/media/DtuptLHWwAEP5Pl.jpg" TargetMode="External"/><Relationship Id="rId1150" Type="http://schemas.openxmlformats.org/officeDocument/2006/relationships/hyperlink" Target="http://pic.twitter.com/Ko3wlEDHse" TargetMode="External"/><Relationship Id="rId1388" Type="http://schemas.openxmlformats.org/officeDocument/2006/relationships/hyperlink" Target="https://pbs.twimg.com/media/DtprvnqWoAAa7ZL.jpg" TargetMode="External"/><Relationship Id="rId1595" Type="http://schemas.openxmlformats.org/officeDocument/2006/relationships/hyperlink" Target="https://www.instagram.com/jorgeneila/" TargetMode="External"/><Relationship Id="rId1609" Type="http://schemas.openxmlformats.org/officeDocument/2006/relationships/hyperlink" Target="http://www.bitmomentum.com/" TargetMode="External"/><Relationship Id="rId1816" Type="http://schemas.openxmlformats.org/officeDocument/2006/relationships/hyperlink" Target="https://pbs.twimg.com/media/DtpGUCSXQAAeAO2.jpg" TargetMode="External"/><Relationship Id="rId10" Type="http://schemas.openxmlformats.org/officeDocument/2006/relationships/hyperlink" Target="https://youtu.be/Y49lI4IDraI" TargetMode="External"/><Relationship Id="rId94" Type="http://schemas.openxmlformats.org/officeDocument/2006/relationships/hyperlink" Target="https://pbs.twimg.com/media/Dt46JVyWoAAHZUn.jpg" TargetMode="External"/><Relationship Id="rId397" Type="http://schemas.openxmlformats.org/officeDocument/2006/relationships/hyperlink" Target="https://twitter.com/rouco64/status/1071032276908150784" TargetMode="External"/><Relationship Id="rId520" Type="http://schemas.openxmlformats.org/officeDocument/2006/relationships/hyperlink" Target="https://pbs.twimg.com/media/Dtz5RuxWoAEKHAY.jpg" TargetMode="External"/><Relationship Id="rId618" Type="http://schemas.openxmlformats.org/officeDocument/2006/relationships/hyperlink" Target="https://twitter.com/BeatrizTalegon/status/1070766608413589509" TargetMode="External"/><Relationship Id="rId825" Type="http://schemas.openxmlformats.org/officeDocument/2006/relationships/hyperlink" Target="https://pbs.twimg.com/media/DtvwjA0WkAADOc-.jpg" TargetMode="External"/><Relationship Id="rId1248" Type="http://schemas.openxmlformats.org/officeDocument/2006/relationships/hyperlink" Target="https://pbs.twimg.com/media/DtpSIPMWsAA8nMe.jpg" TargetMode="External"/><Relationship Id="rId1455" Type="http://schemas.openxmlformats.org/officeDocument/2006/relationships/hyperlink" Target="http://porlanocherefresca.wordpress.com/" TargetMode="External"/><Relationship Id="rId1662" Type="http://schemas.openxmlformats.org/officeDocument/2006/relationships/hyperlink" Target="http://desdelafabrica.wordpress.com/" TargetMode="External"/><Relationship Id="rId2078" Type="http://schemas.openxmlformats.org/officeDocument/2006/relationships/hyperlink" Target="https://pbs.twimg.com/media/Dtmmqz8XcAEBjcP.jpg" TargetMode="External"/><Relationship Id="rId2201" Type="http://schemas.openxmlformats.org/officeDocument/2006/relationships/hyperlink" Target="https://bit.ly/2rhvEgw" TargetMode="External"/><Relationship Id="rId2285" Type="http://schemas.openxmlformats.org/officeDocument/2006/relationships/hyperlink" Target="https://www.facebook.com/carmelodifazioescritor/" TargetMode="External"/><Relationship Id="rId257" Type="http://schemas.openxmlformats.org/officeDocument/2006/relationships/hyperlink" Target="https://casoaislado.com/se-acabaron-los-chupopteros-vox-anuncia-que-suprimira-los-cargos-politicos-inutiles-en-andalucia/" TargetMode="External"/><Relationship Id="rId464" Type="http://schemas.openxmlformats.org/officeDocument/2006/relationships/hyperlink" Target="https://pbs.twimg.com/media/DtzMezGWkAAH-kB.jpg" TargetMode="External"/><Relationship Id="rId1010" Type="http://schemas.openxmlformats.org/officeDocument/2006/relationships/hyperlink" Target="https://www.elmundo.es/espana/2018/12/05/5c081412fc6c83685d8b4777.html" TargetMode="External"/><Relationship Id="rId1094" Type="http://schemas.openxmlformats.org/officeDocument/2006/relationships/hyperlink" Target="http://www.periodistadigital.com/" TargetMode="External"/><Relationship Id="rId1108" Type="http://schemas.openxmlformats.org/officeDocument/2006/relationships/hyperlink" Target="http://www.bitmomentum.com/" TargetMode="External"/><Relationship Id="rId1315" Type="http://schemas.openxmlformats.org/officeDocument/2006/relationships/hyperlink" Target="https://pbs.twimg.com/media/DtqEEsMWwAELJae.jpg" TargetMode="External"/><Relationship Id="rId1967" Type="http://schemas.openxmlformats.org/officeDocument/2006/relationships/hyperlink" Target="http://pic.twitter.com/7jBd9MgbQi" TargetMode="External"/><Relationship Id="rId2145" Type="http://schemas.openxmlformats.org/officeDocument/2006/relationships/hyperlink" Target="https://pbs.twimg.com/media/Dtk--mMWkAAvLb3.jpg" TargetMode="External"/><Relationship Id="rId117" Type="http://schemas.openxmlformats.org/officeDocument/2006/relationships/hyperlink" Target="https://twitter.com/CervantesFAQs/status/1071142892469710848" TargetMode="External"/><Relationship Id="rId671" Type="http://schemas.openxmlformats.org/officeDocument/2006/relationships/hyperlink" Target="http://pic.twitter.com/mU4jPMFSui" TargetMode="External"/><Relationship Id="rId769" Type="http://schemas.openxmlformats.org/officeDocument/2006/relationships/hyperlink" Target="https://pbs.twimg.com/media/DtwXohBWoAAEjv_.jpg" TargetMode="External"/><Relationship Id="rId976" Type="http://schemas.openxmlformats.org/officeDocument/2006/relationships/hyperlink" Target="https://twitter.com/vox_es/status/1070393579317673992" TargetMode="External"/><Relationship Id="rId1399" Type="http://schemas.openxmlformats.org/officeDocument/2006/relationships/hyperlink" Target="https://twitter.com/ElenaMoren_/status/1069893612878684161" TargetMode="External"/><Relationship Id="rId2352" Type="http://schemas.openxmlformats.org/officeDocument/2006/relationships/hyperlink" Target="http://huelvai.info/rww_61" TargetMode="External"/><Relationship Id="rId324" Type="http://schemas.openxmlformats.org/officeDocument/2006/relationships/hyperlink" Target="http://okdiario.com/" TargetMode="External"/><Relationship Id="rId531" Type="http://schemas.openxmlformats.org/officeDocument/2006/relationships/hyperlink" Target="https://pbs.twimg.com/media/Dtz1j9dXcAAX1bA.jpg" TargetMode="External"/><Relationship Id="rId629" Type="http://schemas.openxmlformats.org/officeDocument/2006/relationships/hyperlink" Target="http://trendinalia.com/twitter-trending-topics/spain/" TargetMode="External"/><Relationship Id="rId1161" Type="http://schemas.openxmlformats.org/officeDocument/2006/relationships/hyperlink" Target="http://www.bitmomentum.com/" TargetMode="External"/><Relationship Id="rId1259" Type="http://schemas.openxmlformats.org/officeDocument/2006/relationships/hyperlink" Target="http://pic.twitter.com/vlbeSSofLC" TargetMode="External"/><Relationship Id="rId1466" Type="http://schemas.openxmlformats.org/officeDocument/2006/relationships/hyperlink" Target="https://twitter.com/el_tylerdurden" TargetMode="External"/><Relationship Id="rId2005" Type="http://schemas.openxmlformats.org/officeDocument/2006/relationships/hyperlink" Target="http://chng.it/R49WcwhN" TargetMode="External"/><Relationship Id="rId2212" Type="http://schemas.openxmlformats.org/officeDocument/2006/relationships/hyperlink" Target="https://twitter.com/gerardotc/status/1069990393163468801" TargetMode="External"/><Relationship Id="rId836" Type="http://schemas.openxmlformats.org/officeDocument/2006/relationships/hyperlink" Target="https://pbs.twimg.com/media/Dtvr0nUXcAI9O8E.jpg" TargetMode="External"/><Relationship Id="rId1021" Type="http://schemas.openxmlformats.org/officeDocument/2006/relationships/hyperlink" Target="https://www.telecinco.es/elprogramadeanarosa/entrevista-completa-lider-vox_2_2670180051.html" TargetMode="External"/><Relationship Id="rId1119" Type="http://schemas.openxmlformats.org/officeDocument/2006/relationships/hyperlink" Target="http://www.bitmomentum.com/" TargetMode="External"/><Relationship Id="rId1673" Type="http://schemas.openxmlformats.org/officeDocument/2006/relationships/hyperlink" Target="https://m.facebook.com/story.php?story_fbid=2248946295129400&amp;id=885396501484393" TargetMode="External"/><Relationship Id="rId1880" Type="http://schemas.openxmlformats.org/officeDocument/2006/relationships/hyperlink" Target="http://pic.twitter.com/nr6PAYKYbs" TargetMode="External"/><Relationship Id="rId1978" Type="http://schemas.openxmlformats.org/officeDocument/2006/relationships/hyperlink" Target="http://www.bitmomentum.com/" TargetMode="External"/><Relationship Id="rId903" Type="http://schemas.openxmlformats.org/officeDocument/2006/relationships/hyperlink" Target="https://twitter.com/mugiwarasens/status/1070056571089154048" TargetMode="External"/><Relationship Id="rId1326" Type="http://schemas.openxmlformats.org/officeDocument/2006/relationships/hyperlink" Target="https://pbs.twimg.com/media/DtrMf3PW4AIo2Kz.jpg" TargetMode="External"/><Relationship Id="rId1533" Type="http://schemas.openxmlformats.org/officeDocument/2006/relationships/hyperlink" Target="https://twitter.com/andrei_kononov/status/1070106267279155200" TargetMode="External"/><Relationship Id="rId1740" Type="http://schemas.openxmlformats.org/officeDocument/2006/relationships/hyperlink" Target="http://bruselense.wordpress.com/" TargetMode="External"/><Relationship Id="rId32" Type="http://schemas.openxmlformats.org/officeDocument/2006/relationships/hyperlink" Target="https://elenfurecido.wordpress.com/2018/12/08/bertin-osborne-sobre-santiago-abascal-le-conozco-perfectamente-santi-es-una-persona-espectacular-es-buena-gente-como-ni-te-imaginas/" TargetMode="External"/><Relationship Id="rId1600" Type="http://schemas.openxmlformats.org/officeDocument/2006/relationships/hyperlink" Target="http://okdiario.com/" TargetMode="External"/><Relationship Id="rId1838" Type="http://schemas.openxmlformats.org/officeDocument/2006/relationships/hyperlink" Target="http://www.rtve.es/losdesayunos" TargetMode="External"/><Relationship Id="rId181" Type="http://schemas.openxmlformats.org/officeDocument/2006/relationships/hyperlink" Target="https://okdiario.com/espana/2018/12/07/separatistas-manipulan-foto-abascal-mostrarle-besando-tumba-franco-3440935" TargetMode="External"/><Relationship Id="rId1905" Type="http://schemas.openxmlformats.org/officeDocument/2006/relationships/hyperlink" Target="http://www.bitmomentum.com/" TargetMode="External"/><Relationship Id="rId279" Type="http://schemas.openxmlformats.org/officeDocument/2006/relationships/hyperlink" Target="http://youtu.be/vCzgGgIgofk?a" TargetMode="External"/><Relationship Id="rId486" Type="http://schemas.openxmlformats.org/officeDocument/2006/relationships/hyperlink" Target="https://pbs.twimg.com/media/Dt0PX1bXgAAppk4.jpg" TargetMode="External"/><Relationship Id="rId693" Type="http://schemas.openxmlformats.org/officeDocument/2006/relationships/hyperlink" Target="http://franciscogordal.blogspot.com.es/" TargetMode="External"/><Relationship Id="rId2167" Type="http://schemas.openxmlformats.org/officeDocument/2006/relationships/hyperlink" Target="https://pbs.twimg.com/media/DtmQdElWwAIea_C.jpg" TargetMode="External"/><Relationship Id="rId2374" Type="http://schemas.openxmlformats.org/officeDocument/2006/relationships/hyperlink" Target="https://pbs.twimg.com/media/DtlHhP5W4AAnQKz.jpg" TargetMode="External"/><Relationship Id="rId139" Type="http://schemas.openxmlformats.org/officeDocument/2006/relationships/hyperlink" Target="http://johnhenrykurtz.blogspot.com.es/" TargetMode="External"/><Relationship Id="rId346" Type="http://schemas.openxmlformats.org/officeDocument/2006/relationships/hyperlink" Target="https://bit.ly/2Eh8CyN" TargetMode="External"/><Relationship Id="rId553" Type="http://schemas.openxmlformats.org/officeDocument/2006/relationships/hyperlink" Target="https://instagram.com/_u/falkfive?r=sun1" TargetMode="External"/><Relationship Id="rId760" Type="http://schemas.openxmlformats.org/officeDocument/2006/relationships/hyperlink" Target="https://twitter.com/vox_es/status/1070648664102748162" TargetMode="External"/><Relationship Id="rId998" Type="http://schemas.openxmlformats.org/officeDocument/2006/relationships/hyperlink" Target="http://pic.twitter.com/LS3jDmZChV" TargetMode="External"/><Relationship Id="rId1183" Type="http://schemas.openxmlformats.org/officeDocument/2006/relationships/hyperlink" Target="https://www.youtube.com/watch?v=hAWZRD9sfnk" TargetMode="External"/><Relationship Id="rId1390" Type="http://schemas.openxmlformats.org/officeDocument/2006/relationships/hyperlink" Target="https://pbs.twimg.com/media/Dtq3W-dXcAA71zo.jpg" TargetMode="External"/><Relationship Id="rId2027" Type="http://schemas.openxmlformats.org/officeDocument/2006/relationships/hyperlink" Target="http://pic.twitter.com/WkxXYxPuR3" TargetMode="External"/><Relationship Id="rId2234" Type="http://schemas.openxmlformats.org/officeDocument/2006/relationships/hyperlink" Target="http://instagram.com/natalia.ar4" TargetMode="External"/><Relationship Id="rId206" Type="http://schemas.openxmlformats.org/officeDocument/2006/relationships/hyperlink" Target="https://www.libertaddigital.com/opinion/santiago-abascal/pablo-el-infierno-mismo-78791/" TargetMode="External"/><Relationship Id="rId413" Type="http://schemas.openxmlformats.org/officeDocument/2006/relationships/hyperlink" Target="https://pbs.twimg.com/media/Dt0x7pDXgAAzfCj.jpg" TargetMode="External"/><Relationship Id="rId858" Type="http://schemas.openxmlformats.org/officeDocument/2006/relationships/hyperlink" Target="https://www.telecinco.es/elprogramadeanarosa/entrevista-completa-lider-vox_2_2670180051.html" TargetMode="External"/><Relationship Id="rId1043" Type="http://schemas.openxmlformats.org/officeDocument/2006/relationships/hyperlink" Target="http://pic.twitter.com/Ivp7auP4OZ" TargetMode="External"/><Relationship Id="rId1488" Type="http://schemas.openxmlformats.org/officeDocument/2006/relationships/hyperlink" Target="http://guerrillajr.wordpress.com/" TargetMode="External"/><Relationship Id="rId1695" Type="http://schemas.openxmlformats.org/officeDocument/2006/relationships/hyperlink" Target="https://pbs.twimg.com/media/DtpjxVjW0AEnvIN.jpg" TargetMode="External"/><Relationship Id="rId620" Type="http://schemas.openxmlformats.org/officeDocument/2006/relationships/hyperlink" Target="https://twitter.com/jon_goro/status/1070789470293770240" TargetMode="External"/><Relationship Id="rId718" Type="http://schemas.openxmlformats.org/officeDocument/2006/relationships/hyperlink" Target="http://www.jorgebuxade.com/" TargetMode="External"/><Relationship Id="rId925" Type="http://schemas.openxmlformats.org/officeDocument/2006/relationships/hyperlink" Target="http://www.japalpilpa.com/" TargetMode="External"/><Relationship Id="rId1250" Type="http://schemas.openxmlformats.org/officeDocument/2006/relationships/hyperlink" Target="https://www.libertaddigital.com/espana/2018-12-05/feijoo-vox-no-tiene-cabida-en-galicia-1276629430/" TargetMode="External"/><Relationship Id="rId1348" Type="http://schemas.openxmlformats.org/officeDocument/2006/relationships/hyperlink" Target="https://pbs.twimg.com/media/DtpSIPMWsAA8nMe.jpg" TargetMode="External"/><Relationship Id="rId1555" Type="http://schemas.openxmlformats.org/officeDocument/2006/relationships/hyperlink" Target="https://pbs.twimg.com/media/DtqLUWnWwAEPlHF.jpg" TargetMode="External"/><Relationship Id="rId1762" Type="http://schemas.openxmlformats.org/officeDocument/2006/relationships/hyperlink" Target="http://www.telecinco.es/elprogramadeanarosa" TargetMode="External"/><Relationship Id="rId2301" Type="http://schemas.openxmlformats.org/officeDocument/2006/relationships/hyperlink" Target="http://www.bitmomentum.com/" TargetMode="External"/><Relationship Id="rId1110" Type="http://schemas.openxmlformats.org/officeDocument/2006/relationships/hyperlink" Target="http://pic.twitter.com/t2G2oxtCcR" TargetMode="External"/><Relationship Id="rId1208" Type="http://schemas.openxmlformats.org/officeDocument/2006/relationships/hyperlink" Target="http://adanesmit.blogspot.com/" TargetMode="External"/><Relationship Id="rId1415" Type="http://schemas.openxmlformats.org/officeDocument/2006/relationships/hyperlink" Target="http://www.bitmomentum.com/" TargetMode="External"/><Relationship Id="rId54" Type="http://schemas.openxmlformats.org/officeDocument/2006/relationships/hyperlink" Target="https://pbs.twimg.com/media/Dt5LS0IXgAARaqF.jpg" TargetMode="External"/><Relationship Id="rId1622" Type="http://schemas.openxmlformats.org/officeDocument/2006/relationships/hyperlink" Target="https://www.volteuropa.org/" TargetMode="External"/><Relationship Id="rId1927" Type="http://schemas.openxmlformats.org/officeDocument/2006/relationships/hyperlink" Target="https://www.facebook.com/permalink.php?story_fbid=713550579024104&amp;id=100011075051553" TargetMode="External"/><Relationship Id="rId2091" Type="http://schemas.openxmlformats.org/officeDocument/2006/relationships/hyperlink" Target="http://pic.twitter.com/owsYVLzqv0" TargetMode="External"/><Relationship Id="rId2189" Type="http://schemas.openxmlformats.org/officeDocument/2006/relationships/hyperlink" Target="https://www.youtube.com/attribution_link?a=ddDZt4W5lKM&amp;u=%2Fwatch%3Fv%3DGqZfg8EayrQ%26feature%3Dshare" TargetMode="External"/><Relationship Id="rId270" Type="http://schemas.openxmlformats.org/officeDocument/2006/relationships/hyperlink" Target="https://pbs.twimg.com/media/DtpSIPMWsAA8nMe.jpg" TargetMode="External"/><Relationship Id="rId2396" Type="http://schemas.openxmlformats.org/officeDocument/2006/relationships/hyperlink" Target="https://pbs.twimg.com/media/DtlAexXWoAA1uVW.jpg" TargetMode="External"/><Relationship Id="rId130" Type="http://schemas.openxmlformats.org/officeDocument/2006/relationships/hyperlink" Target="https://twitter.com/gouvernementfr/status/1070963833009782784" TargetMode="External"/><Relationship Id="rId368" Type="http://schemas.openxmlformats.org/officeDocument/2006/relationships/hyperlink" Target="https://pbs.twimg.com/media/Dtv59xuXQAIohg-.jpg" TargetMode="External"/><Relationship Id="rId575" Type="http://schemas.openxmlformats.org/officeDocument/2006/relationships/hyperlink" Target="https://pbs.twimg.com/media/DtzcYFlW0AAb82L.jpg" TargetMode="External"/><Relationship Id="rId782" Type="http://schemas.openxmlformats.org/officeDocument/2006/relationships/hyperlink" Target="https://pbs.twimg.com/media/DtwRhEhXcAAme0L.jpg" TargetMode="External"/><Relationship Id="rId2049" Type="http://schemas.openxmlformats.org/officeDocument/2006/relationships/hyperlink" Target="https://www.youtube.com/channel/UCCrRkJwntIEDWJEh-spS1zw/feed" TargetMode="External"/><Relationship Id="rId2256" Type="http://schemas.openxmlformats.org/officeDocument/2006/relationships/hyperlink" Target="https://pbs.twimg.com/media/DtloLF4X4AATPO9.jpg" TargetMode="External"/><Relationship Id="rId228" Type="http://schemas.openxmlformats.org/officeDocument/2006/relationships/hyperlink" Target="https://twitter.com/Santi_ABASCAL/status/1071151555364167682" TargetMode="External"/><Relationship Id="rId435" Type="http://schemas.openxmlformats.org/officeDocument/2006/relationships/hyperlink" Target="http://www.periodistadigital.com/" TargetMode="External"/><Relationship Id="rId642" Type="http://schemas.openxmlformats.org/officeDocument/2006/relationships/hyperlink" Target="https://pbs.twimg.com/media/DtyCpUeWwAApdrT.png" TargetMode="External"/><Relationship Id="rId1065" Type="http://schemas.openxmlformats.org/officeDocument/2006/relationships/hyperlink" Target="http://pasionxespa&#241;a.es/" TargetMode="External"/><Relationship Id="rId1272" Type="http://schemas.openxmlformats.org/officeDocument/2006/relationships/hyperlink" Target="http://dozz.es/dpgza4" TargetMode="External"/><Relationship Id="rId2116" Type="http://schemas.openxmlformats.org/officeDocument/2006/relationships/hyperlink" Target="http://ww.cope.es/u1iun3" TargetMode="External"/><Relationship Id="rId2323" Type="http://schemas.openxmlformats.org/officeDocument/2006/relationships/hyperlink" Target="http://joserivela.blogspot.com/" TargetMode="External"/><Relationship Id="rId502" Type="http://schemas.openxmlformats.org/officeDocument/2006/relationships/hyperlink" Target="https://pbs.twimg.com/media/Dtkuw5oXcAIO9xZ.jpg" TargetMode="External"/><Relationship Id="rId947" Type="http://schemas.openxmlformats.org/officeDocument/2006/relationships/hyperlink" Target="https://pbs.twimg.com/media/Dtut-JaWwAE6v7T.jpg" TargetMode="External"/><Relationship Id="rId1132" Type="http://schemas.openxmlformats.org/officeDocument/2006/relationships/hyperlink" Target="https://curiouscat.me/Gloriasaurio" TargetMode="External"/><Relationship Id="rId1577" Type="http://schemas.openxmlformats.org/officeDocument/2006/relationships/hyperlink" Target="https://www.libremercado.com/2018-12-05/el-plan-economico-de-vox-para-espana-desalojo-inmediato-de-okupas-irpf-unico-del-20-pensiones-mixtas-1276629399/" TargetMode="External"/><Relationship Id="rId1784" Type="http://schemas.openxmlformats.org/officeDocument/2006/relationships/hyperlink" Target="https://maldita.es/malditodato/cuando-abascal-cobraba-mas-que-el-presidente-del-gobierno-por-cargos-a-dedo-pagados-con-dinero-publico/" TargetMode="External"/><Relationship Id="rId1991" Type="http://schemas.openxmlformats.org/officeDocument/2006/relationships/hyperlink" Target="https://pbs.twimg.com/media/DtnB3bJXgAAK4TL.jpg" TargetMode="External"/><Relationship Id="rId76" Type="http://schemas.openxmlformats.org/officeDocument/2006/relationships/hyperlink" Target="http://www.bitmomentum.com/" TargetMode="External"/><Relationship Id="rId807" Type="http://schemas.openxmlformats.org/officeDocument/2006/relationships/hyperlink" Target="https://twitter.com/arturelpayaso2/status/1070703901127651329" TargetMode="External"/><Relationship Id="rId1437" Type="http://schemas.openxmlformats.org/officeDocument/2006/relationships/hyperlink" Target="http://pic.twitter.com/3t4MrLeKWl" TargetMode="External"/><Relationship Id="rId1644" Type="http://schemas.openxmlformats.org/officeDocument/2006/relationships/hyperlink" Target="https://www.lasprovincias.es/politica/lidia-bedman-mujer-20181011183041-nt.html" TargetMode="External"/><Relationship Id="rId1851" Type="http://schemas.openxmlformats.org/officeDocument/2006/relationships/hyperlink" Target="https://ecoteuve.eleconomista.es/programas/noticias/9564085/12/18/Santiago-Abascal-y-Ana-Rosa-Quintana-se-enzarzan-por-la-violencia-machista-en-la-primera-entrevista-al-lider-de-Vox-.html" TargetMode="External"/><Relationship Id="rId1504" Type="http://schemas.openxmlformats.org/officeDocument/2006/relationships/hyperlink" Target="http://pic.twitter.com/4omCRLEkVx" TargetMode="External"/><Relationship Id="rId1711" Type="http://schemas.openxmlformats.org/officeDocument/2006/relationships/hyperlink" Target="http://www.bitmomentum.com/" TargetMode="External"/><Relationship Id="rId1949" Type="http://schemas.openxmlformats.org/officeDocument/2006/relationships/hyperlink" Target="https://www.libertaddigital.com/espana/2018-12-04/iglesias-contesta-a-abascal-espero-que-no-me-haga-responsable-tambien-de-sus-hemorroides-1276629344/" TargetMode="External"/><Relationship Id="rId292" Type="http://schemas.openxmlformats.org/officeDocument/2006/relationships/hyperlink" Target="https://www.periodistadigital.com/periodismo/tv/2018/12/07/nueva-burla-vox-escocidito-evole-cuesta-memorable-bano-twitter-sanguijuela-santi-abascal.shtml" TargetMode="External"/><Relationship Id="rId1809" Type="http://schemas.openxmlformats.org/officeDocument/2006/relationships/hyperlink" Target="http://devocionmadridista.blogspot.com/" TargetMode="External"/><Relationship Id="rId597" Type="http://schemas.openxmlformats.org/officeDocument/2006/relationships/hyperlink" Target="https://pbs.twimg.com/media/DtzP79vWkAA6vga.jpg" TargetMode="External"/><Relationship Id="rId2180" Type="http://schemas.openxmlformats.org/officeDocument/2006/relationships/hyperlink" Target="https://pbs.twimg.com/media/DtmMiYNW0AIM1jP.jpg" TargetMode="External"/><Relationship Id="rId2278" Type="http://schemas.openxmlformats.org/officeDocument/2006/relationships/hyperlink" Target="http://www.instagram.com/cris_goal" TargetMode="External"/><Relationship Id="rId152" Type="http://schemas.openxmlformats.org/officeDocument/2006/relationships/hyperlink" Target="https://www.instagram.com/p/BrHnbcVAoyA/?utm_source=ig_twitter_share&amp;igshid=e6794f3v4f5b" TargetMode="External"/><Relationship Id="rId457" Type="http://schemas.openxmlformats.org/officeDocument/2006/relationships/hyperlink" Target="https://twitter.com/danierdecai35/status/1070800695945760768" TargetMode="External"/><Relationship Id="rId1087" Type="http://schemas.openxmlformats.org/officeDocument/2006/relationships/hyperlink" Target="https://pbs.twimg.com/media/DttyKixU4AASB9I.jpg" TargetMode="External"/><Relationship Id="rId1294" Type="http://schemas.openxmlformats.org/officeDocument/2006/relationships/hyperlink" Target="http://pic.twitter.com/oEd1e9fp2a" TargetMode="External"/><Relationship Id="rId2040" Type="http://schemas.openxmlformats.org/officeDocument/2006/relationships/hyperlink" Target="https://www.youtube.com/watch?v=oIMxo0mWe0Q" TargetMode="External"/><Relationship Id="rId2138" Type="http://schemas.openxmlformats.org/officeDocument/2006/relationships/hyperlink" Target="https://twitter.com/pnique/status/1070041235048534016" TargetMode="External"/><Relationship Id="rId664" Type="http://schemas.openxmlformats.org/officeDocument/2006/relationships/hyperlink" Target="http://voxespana.es/vox" TargetMode="External"/><Relationship Id="rId871" Type="http://schemas.openxmlformats.org/officeDocument/2006/relationships/hyperlink" Target="https://pbs.twimg.com/media/DtvX4RWXQAANMSq.jpg" TargetMode="External"/><Relationship Id="rId969" Type="http://schemas.openxmlformats.org/officeDocument/2006/relationships/hyperlink" Target="https://pbs.twimg.com/media/Dtum1OzWsAAE8Vs.jpg" TargetMode="External"/><Relationship Id="rId1599" Type="http://schemas.openxmlformats.org/officeDocument/2006/relationships/hyperlink" Target="https://okdiario.com/espana/2018/12/05/abascal-responde-rivera-ciudadanos-toro-manso-nosotros-somos-bravos-3426819?utm_campaign=ok&amp;utm_medium=Social&amp;utm_source=Twitter" TargetMode="External"/><Relationship Id="rId2345" Type="http://schemas.openxmlformats.org/officeDocument/2006/relationships/hyperlink" Target="https://pbs.twimg.com/media/DtlJI0_WkAAkEIf.jpg" TargetMode="External"/><Relationship Id="rId317" Type="http://schemas.openxmlformats.org/officeDocument/2006/relationships/hyperlink" Target="http://pic.twitter.com/Q0rP8VUGoV" TargetMode="External"/><Relationship Id="rId524" Type="http://schemas.openxmlformats.org/officeDocument/2006/relationships/hyperlink" Target="https://pbs.twimg.com/media/Dtz3265WoAEoeRb.jpg" TargetMode="External"/><Relationship Id="rId731" Type="http://schemas.openxmlformats.org/officeDocument/2006/relationships/hyperlink" Target="http://www.libertaddigital.com/opinion/fray-josepho/" TargetMode="External"/><Relationship Id="rId1154" Type="http://schemas.openxmlformats.org/officeDocument/2006/relationships/hyperlink" Target="https://vimeo.com/227775713" TargetMode="External"/><Relationship Id="rId1361" Type="http://schemas.openxmlformats.org/officeDocument/2006/relationships/hyperlink" Target="https://pbs.twimg.com/media/Dtq_w73W0AAh4Pn.jpg" TargetMode="External"/><Relationship Id="rId1459" Type="http://schemas.openxmlformats.org/officeDocument/2006/relationships/hyperlink" Target="http://www.bitmomentum.com/" TargetMode="External"/><Relationship Id="rId2205" Type="http://schemas.openxmlformats.org/officeDocument/2006/relationships/hyperlink" Target="http://pic.twitter.com/38df6fbPyp" TargetMode="External"/><Relationship Id="rId98" Type="http://schemas.openxmlformats.org/officeDocument/2006/relationships/hyperlink" Target="http://elbuenpartido.blogspot.com/2010/12/nace-el-buen-partido.html?m=0" TargetMode="External"/><Relationship Id="rId829" Type="http://schemas.openxmlformats.org/officeDocument/2006/relationships/hyperlink" Target="https://pbs.twimg.com/media/DtvwAgLW0AA9KNS.jpg" TargetMode="External"/><Relationship Id="rId1014" Type="http://schemas.openxmlformats.org/officeDocument/2006/relationships/hyperlink" Target="https://pbs.twimg.com/media/DtuOTSJXQAEft_N.jpg" TargetMode="External"/><Relationship Id="rId1221" Type="http://schemas.openxmlformats.org/officeDocument/2006/relationships/hyperlink" Target="http://www.elcheclubdefutbolsad.com/" TargetMode="External"/><Relationship Id="rId1666" Type="http://schemas.openxmlformats.org/officeDocument/2006/relationships/hyperlink" Target="http://elasterisco.es/" TargetMode="External"/><Relationship Id="rId1873" Type="http://schemas.openxmlformats.org/officeDocument/2006/relationships/hyperlink" Target="https://pbs.twimg.com/media/Dto8ef7W4AAEneF.jpg" TargetMode="External"/><Relationship Id="rId1319" Type="http://schemas.openxmlformats.org/officeDocument/2006/relationships/hyperlink" Target="http://directoalmentonjosequijadarubira.blogspot.com.es/" TargetMode="External"/><Relationship Id="rId1526" Type="http://schemas.openxmlformats.org/officeDocument/2006/relationships/hyperlink" Target="http://www.bitmomentum.com/" TargetMode="External"/><Relationship Id="rId1733" Type="http://schemas.openxmlformats.org/officeDocument/2006/relationships/hyperlink" Target="http://www.telecinco.es/elprogramadeanarosa" TargetMode="External"/><Relationship Id="rId1940" Type="http://schemas.openxmlformats.org/officeDocument/2006/relationships/hyperlink" Target="http://youtu.be/WVk6--jHJ70?a" TargetMode="External"/><Relationship Id="rId25" Type="http://schemas.openxmlformats.org/officeDocument/2006/relationships/hyperlink" Target="https://maldita.es/malditodato/cuando-abascal-cobraba-mas-que-el-presidente-del-gobierno-por-cargos-a-dedo-pagados-con-dinero-publico/" TargetMode="External"/><Relationship Id="rId1800" Type="http://schemas.openxmlformats.org/officeDocument/2006/relationships/hyperlink" Target="https://pbs.twimg.com/media/DtfD0veWwAEEh2t.jpg" TargetMode="External"/><Relationship Id="rId174" Type="http://schemas.openxmlformats.org/officeDocument/2006/relationships/hyperlink" Target="http://www.bitmomentum.com/" TargetMode="External"/><Relationship Id="rId381" Type="http://schemas.openxmlformats.org/officeDocument/2006/relationships/hyperlink" Target="http://www.luisfprieto.com/" TargetMode="External"/><Relationship Id="rId2062" Type="http://schemas.openxmlformats.org/officeDocument/2006/relationships/hyperlink" Target="http://www.extremadura7dias.com/noticia/extremadura-unida-a-extremadura-le-hace-falta-otro-cambio-radical" TargetMode="External"/><Relationship Id="rId241" Type="http://schemas.openxmlformats.org/officeDocument/2006/relationships/hyperlink" Target="http://www.irenezoealameda.com/" TargetMode="External"/><Relationship Id="rId479" Type="http://schemas.openxmlformats.org/officeDocument/2006/relationships/hyperlink" Target="https://pbs.twimg.com/media/Dt0SdMNWoAAtXC0.jpg" TargetMode="External"/><Relationship Id="rId686" Type="http://schemas.openxmlformats.org/officeDocument/2006/relationships/hyperlink" Target="https://twitter.com/vox_es/status/1070648664102748162" TargetMode="External"/><Relationship Id="rId893" Type="http://schemas.openxmlformats.org/officeDocument/2006/relationships/hyperlink" Target="http://pic.twitter.com/Ko3wlEDHse" TargetMode="External"/><Relationship Id="rId2367" Type="http://schemas.openxmlformats.org/officeDocument/2006/relationships/hyperlink" Target="http://malagah.info/ncqej1" TargetMode="External"/><Relationship Id="rId339" Type="http://schemas.openxmlformats.org/officeDocument/2006/relationships/hyperlink" Target="http://pic.twitter.com/SGS4zlBrSz" TargetMode="External"/><Relationship Id="rId546" Type="http://schemas.openxmlformats.org/officeDocument/2006/relationships/hyperlink" Target="https://www.abc.es/deportes/abci-cierra-estadio-cartuja-abandono-201812061702_noticia.html" TargetMode="External"/><Relationship Id="rId753" Type="http://schemas.openxmlformats.org/officeDocument/2006/relationships/hyperlink" Target="https://www.lasexta.com/noticias/nacional/la-pillada-a-santiago-abascal-que-muestra-que-ni-si-quiera-sabe-como-cerrar-canal-sur-aunque-le-apoyara-el-pp-video_201812065c09494e0cf2d96fe2fb0691.html" TargetMode="External"/><Relationship Id="rId1176" Type="http://schemas.openxmlformats.org/officeDocument/2006/relationships/hyperlink" Target="https://pbs.twimg.com/media/Dtr8YrBV4AAVn82.jpg" TargetMode="External"/><Relationship Id="rId1383" Type="http://schemas.openxmlformats.org/officeDocument/2006/relationships/hyperlink" Target="http://versosgordos.wordpress.com/" TargetMode="External"/><Relationship Id="rId2227" Type="http://schemas.openxmlformats.org/officeDocument/2006/relationships/hyperlink" Target="https://pbs.twimg.com/media/Dtl3qQZXgAAnjXx.jpg" TargetMode="External"/><Relationship Id="rId101" Type="http://schemas.openxmlformats.org/officeDocument/2006/relationships/hyperlink" Target="http://pic.twitter.com/IqIAWGTLxn" TargetMode="External"/><Relationship Id="rId406" Type="http://schemas.openxmlformats.org/officeDocument/2006/relationships/hyperlink" Target="https://theconversation.com/profiles/david-navarro-martinez-554157" TargetMode="External"/><Relationship Id="rId960" Type="http://schemas.openxmlformats.org/officeDocument/2006/relationships/hyperlink" Target="https://youtu.be/S8_g6JS2z24" TargetMode="External"/><Relationship Id="rId1036" Type="http://schemas.openxmlformats.org/officeDocument/2006/relationships/hyperlink" Target="http://www.bitmomentum.com/" TargetMode="External"/><Relationship Id="rId1243" Type="http://schemas.openxmlformats.org/officeDocument/2006/relationships/hyperlink" Target="https://pbs.twimg.com/media/Dtrngk5WsAQ1aJf.jpg" TargetMode="External"/><Relationship Id="rId1590" Type="http://schemas.openxmlformats.org/officeDocument/2006/relationships/hyperlink" Target="https://twitter.com/voxnoticias_es/status/1070253847648591874" TargetMode="External"/><Relationship Id="rId1688" Type="http://schemas.openxmlformats.org/officeDocument/2006/relationships/hyperlink" Target="http://www.telecinco.es/" TargetMode="External"/><Relationship Id="rId1895" Type="http://schemas.openxmlformats.org/officeDocument/2006/relationships/hyperlink" Target="http://sufridomurciano.blogspot.com/" TargetMode="External"/><Relationship Id="rId613" Type="http://schemas.openxmlformats.org/officeDocument/2006/relationships/hyperlink" Target="https://youtu.be/vCzgGgIgofk" TargetMode="External"/><Relationship Id="rId820" Type="http://schemas.openxmlformats.org/officeDocument/2006/relationships/hyperlink" Target="http://pic.twitter.com/sQQQMtGvUc" TargetMode="External"/><Relationship Id="rId918" Type="http://schemas.openxmlformats.org/officeDocument/2006/relationships/hyperlink" Target="https://www.esdiario.com/amp/453023193/El-video-de-un-jovencisimo-Santiago-Abascal-que-deberia-dar-verguenza-a-Podemos.html" TargetMode="External"/><Relationship Id="rId1450" Type="http://schemas.openxmlformats.org/officeDocument/2006/relationships/hyperlink" Target="https://youtu.be/EdpZF3nLMF8" TargetMode="External"/><Relationship Id="rId1548" Type="http://schemas.openxmlformats.org/officeDocument/2006/relationships/hyperlink" Target="https://instagram.com/doctorwhoeldoctor/" TargetMode="External"/><Relationship Id="rId1755" Type="http://schemas.openxmlformats.org/officeDocument/2006/relationships/hyperlink" Target="https://www.youtube.com/watch?v=S8_g6JS2z24&amp;feature=youtu.be" TargetMode="External"/><Relationship Id="rId1103" Type="http://schemas.openxmlformats.org/officeDocument/2006/relationships/hyperlink" Target="https://youtu.be/KjYLtOTF2h0" TargetMode="External"/><Relationship Id="rId1310" Type="http://schemas.openxmlformats.org/officeDocument/2006/relationships/hyperlink" Target="http://pic.twitter.com/X448pzts6L" TargetMode="External"/><Relationship Id="rId1408" Type="http://schemas.openxmlformats.org/officeDocument/2006/relationships/hyperlink" Target="http://www.cope.es/" TargetMode="External"/><Relationship Id="rId1962" Type="http://schemas.openxmlformats.org/officeDocument/2006/relationships/hyperlink" Target="http://www.bitmomentum.com/" TargetMode="External"/><Relationship Id="rId47" Type="http://schemas.openxmlformats.org/officeDocument/2006/relationships/hyperlink" Target="https://www.elindependiente.com/politica/2018/12/08/euskadi-la-tierra-que-esculpio-al-lider-de-vox-santiago-abascal/?utm_source=share_buttons&amp;utm_medium=twitter&amp;utm_campaign=social_share2" TargetMode="External"/><Relationship Id="rId1615" Type="http://schemas.openxmlformats.org/officeDocument/2006/relationships/hyperlink" Target="https://www.facebook.com/paz.paniagua.12/videos/1939708026112722/" TargetMode="External"/><Relationship Id="rId1822" Type="http://schemas.openxmlformats.org/officeDocument/2006/relationships/hyperlink" Target="http://www.lextres.com/" TargetMode="External"/><Relationship Id="rId196" Type="http://schemas.openxmlformats.org/officeDocument/2006/relationships/hyperlink" Target="http://instagram.com/tonixavier7/" TargetMode="External"/><Relationship Id="rId2084" Type="http://schemas.openxmlformats.org/officeDocument/2006/relationships/hyperlink" Target="https://twitter.com/Santi_ABASCAL/status/1069949221175001089" TargetMode="External"/><Relationship Id="rId2291" Type="http://schemas.openxmlformats.org/officeDocument/2006/relationships/hyperlink" Target="https://twitter.com/andy66warhol/status/1069988959063826433" TargetMode="External"/><Relationship Id="rId263" Type="http://schemas.openxmlformats.org/officeDocument/2006/relationships/hyperlink" Target="http://pastebin.com/WHUwhh8g" TargetMode="External"/><Relationship Id="rId470" Type="http://schemas.openxmlformats.org/officeDocument/2006/relationships/hyperlink" Target="http://instagram.com/teodorovox" TargetMode="External"/><Relationship Id="rId2151" Type="http://schemas.openxmlformats.org/officeDocument/2006/relationships/hyperlink" Target="https://pbs.twimg.com/media/DtmTT-mU0AAsCMB.jpg" TargetMode="External"/><Relationship Id="rId2389" Type="http://schemas.openxmlformats.org/officeDocument/2006/relationships/hyperlink" Target="http://pic.twitter.com/BT33Ppp3HY" TargetMode="External"/><Relationship Id="rId123" Type="http://schemas.openxmlformats.org/officeDocument/2006/relationships/hyperlink" Target="http://www.lecturalia.com/autor/2983/joseph-gelinek" TargetMode="External"/><Relationship Id="rId330" Type="http://schemas.openxmlformats.org/officeDocument/2006/relationships/hyperlink" Target="https://pbs.twimg.com/media/Dt1fvj9WkAIjHCI.jpg" TargetMode="External"/><Relationship Id="rId568" Type="http://schemas.openxmlformats.org/officeDocument/2006/relationships/hyperlink" Target="https://pbs.twimg.com/media/DtzhNqVWoAAKGKw.jpg" TargetMode="External"/><Relationship Id="rId775" Type="http://schemas.openxmlformats.org/officeDocument/2006/relationships/hyperlink" Target="https://pbs.twimg.com/media/DtwSsbsWoAASqSQ.jpg" TargetMode="External"/><Relationship Id="rId982" Type="http://schemas.openxmlformats.org/officeDocument/2006/relationships/hyperlink" Target="http://voxespersonaslibres.esy.es/" TargetMode="External"/><Relationship Id="rId1198" Type="http://schemas.openxmlformats.org/officeDocument/2006/relationships/hyperlink" Target="http://www.bitmomentum.com/" TargetMode="External"/><Relationship Id="rId2011" Type="http://schemas.openxmlformats.org/officeDocument/2006/relationships/hyperlink" Target="http://pic.twitter.com/byjpUK3KTq" TargetMode="External"/><Relationship Id="rId2249" Type="http://schemas.openxmlformats.org/officeDocument/2006/relationships/hyperlink" Target="https://www.youtube.com/watch?v=UuS1qAi4SNw&amp;list=PLWj3rMTCrVm8SHNfI5HDeyVaNrzf0e4Bc" TargetMode="External"/><Relationship Id="rId428" Type="http://schemas.openxmlformats.org/officeDocument/2006/relationships/hyperlink" Target="https://twitter.com/jordievole/status/1070432064099532800" TargetMode="External"/><Relationship Id="rId635" Type="http://schemas.openxmlformats.org/officeDocument/2006/relationships/hyperlink" Target="http://www.aizcorbe.com/" TargetMode="External"/><Relationship Id="rId842" Type="http://schemas.openxmlformats.org/officeDocument/2006/relationships/hyperlink" Target="https://pbs.twimg.com/media/DtpSIPMWsAA8nMe.jpg" TargetMode="External"/><Relationship Id="rId1058" Type="http://schemas.openxmlformats.org/officeDocument/2006/relationships/hyperlink" Target="https://www.esdiario.com/453023193/El-video-de-un-jovencisimo-Santiago-Abascal-que-deberia-dar-verguenza-a-Podemos.html" TargetMode="External"/><Relationship Id="rId1265" Type="http://schemas.openxmlformats.org/officeDocument/2006/relationships/hyperlink" Target="https://twitter.com/protestona1/status/1070262012209520645" TargetMode="External"/><Relationship Id="rId1472" Type="http://schemas.openxmlformats.org/officeDocument/2006/relationships/hyperlink" Target="https://www.youtube.com/c/alfilodelabrecha" TargetMode="External"/><Relationship Id="rId2109" Type="http://schemas.openxmlformats.org/officeDocument/2006/relationships/hyperlink" Target="http://instagram.com/mohasalem1/" TargetMode="External"/><Relationship Id="rId2316" Type="http://schemas.openxmlformats.org/officeDocument/2006/relationships/hyperlink" Target="https://www.instagram.com/13jgr/" TargetMode="External"/><Relationship Id="rId702" Type="http://schemas.openxmlformats.org/officeDocument/2006/relationships/hyperlink" Target="https://youtu.be/wqwGqfQPaps" TargetMode="External"/><Relationship Id="rId1125" Type="http://schemas.openxmlformats.org/officeDocument/2006/relationships/hyperlink" Target="http://pic.twitter.com/87Ip5SWxT6" TargetMode="External"/><Relationship Id="rId1332" Type="http://schemas.openxmlformats.org/officeDocument/2006/relationships/hyperlink" Target="https://open.spotify.com/track/0ew27xRdxSexrWbODuLfeE?si=_ZE5GHxXQk2iXF4gaG8l5w" TargetMode="External"/><Relationship Id="rId1777" Type="http://schemas.openxmlformats.org/officeDocument/2006/relationships/hyperlink" Target="https://www.diariodesevilla.es/_4de23146" TargetMode="External"/><Relationship Id="rId1984" Type="http://schemas.openxmlformats.org/officeDocument/2006/relationships/hyperlink" Target="https://twitter.com/LekaconK/status/1069941860184064000" TargetMode="External"/><Relationship Id="rId69" Type="http://schemas.openxmlformats.org/officeDocument/2006/relationships/hyperlink" Target="https://pbs.twimg.com/media/Dt5KbsrXQAAROVz.jpg" TargetMode="External"/><Relationship Id="rId1637" Type="http://schemas.openxmlformats.org/officeDocument/2006/relationships/hyperlink" Target="http://www.jamesnava.com/" TargetMode="External"/><Relationship Id="rId1844" Type="http://schemas.openxmlformats.org/officeDocument/2006/relationships/hyperlink" Target="https://pbs.twimg.com/media/DtpBtnxWsAAeBok.jpg" TargetMode="External"/><Relationship Id="rId1704" Type="http://schemas.openxmlformats.org/officeDocument/2006/relationships/hyperlink" Target="https://pbs.twimg.com/media/Dtph4WSXcAANOhJ.jpg" TargetMode="External"/><Relationship Id="rId285" Type="http://schemas.openxmlformats.org/officeDocument/2006/relationships/hyperlink" Target="https://pbs.twimg.com/media/Dt1zA9fX4AIauuD.jpg" TargetMode="External"/><Relationship Id="rId1911" Type="http://schemas.openxmlformats.org/officeDocument/2006/relationships/hyperlink" Target="http://lavozdegalicia.es/" TargetMode="External"/><Relationship Id="rId492" Type="http://schemas.openxmlformats.org/officeDocument/2006/relationships/hyperlink" Target="https://pbs.twimg.com/media/Dt0KtrJXQAAdiaq.jpg" TargetMode="External"/><Relationship Id="rId797" Type="http://schemas.openxmlformats.org/officeDocument/2006/relationships/hyperlink" Target="http://jaserrano.me/" TargetMode="External"/><Relationship Id="rId2173" Type="http://schemas.openxmlformats.org/officeDocument/2006/relationships/hyperlink" Target="https://twitter.com/qqqqetru/status/1070041186541465605" TargetMode="External"/><Relationship Id="rId2380" Type="http://schemas.openxmlformats.org/officeDocument/2006/relationships/hyperlink" Target="http://m.youtube.com/results?q=%22andalucia+es+de+cine%22&amp;sm=3" TargetMode="External"/><Relationship Id="rId145" Type="http://schemas.openxmlformats.org/officeDocument/2006/relationships/hyperlink" Target="https://okdiario.com/espana/andalucia/2018/12/07/podemita-que-dice-que-va-salir-matar-fascistas-fotografia-teresa-rodriguez-3437549/amp" TargetMode="External"/><Relationship Id="rId352" Type="http://schemas.openxmlformats.org/officeDocument/2006/relationships/hyperlink" Target="https://pbs.twimg.com/media/Dtkuw5oXcAIO9xZ.jpg" TargetMode="External"/><Relationship Id="rId1287" Type="http://schemas.openxmlformats.org/officeDocument/2006/relationships/hyperlink" Target="http://rubensanchez.tw/" TargetMode="External"/><Relationship Id="rId2033" Type="http://schemas.openxmlformats.org/officeDocument/2006/relationships/hyperlink" Target="https://twitter.com/psoedeandalucia/status/1070051364087189504" TargetMode="External"/><Relationship Id="rId2240" Type="http://schemas.openxmlformats.org/officeDocument/2006/relationships/hyperlink" Target="http://edp.cat/" TargetMode="External"/><Relationship Id="rId212" Type="http://schemas.openxmlformats.org/officeDocument/2006/relationships/hyperlink" Target="https://pbs.twimg.com/media/Dt2t473WoAAuTbz.jpg" TargetMode="External"/><Relationship Id="rId657" Type="http://schemas.openxmlformats.org/officeDocument/2006/relationships/hyperlink" Target="https://youtu.be/KjYLtOTF2h0" TargetMode="External"/><Relationship Id="rId864" Type="http://schemas.openxmlformats.org/officeDocument/2006/relationships/hyperlink" Target="https://pbs.twimg.com/media/DtvZremWoAAQ4kE.png" TargetMode="External"/><Relationship Id="rId1494" Type="http://schemas.openxmlformats.org/officeDocument/2006/relationships/hyperlink" Target="http://www.periodistadigital.com/" TargetMode="External"/><Relationship Id="rId1799" Type="http://schemas.openxmlformats.org/officeDocument/2006/relationships/hyperlink" Target="https://twitter.com/rumbopropio/status/1069538829856620545?s=21" TargetMode="External"/><Relationship Id="rId2100" Type="http://schemas.openxmlformats.org/officeDocument/2006/relationships/hyperlink" Target="https://pbs.twimg.com/media/DtmhxjpW4AEqUx5.jpg" TargetMode="External"/><Relationship Id="rId2338" Type="http://schemas.openxmlformats.org/officeDocument/2006/relationships/hyperlink" Target="https://curiouscat.me/MrTato" TargetMode="External"/><Relationship Id="rId517" Type="http://schemas.openxmlformats.org/officeDocument/2006/relationships/hyperlink" Target="https://pbs.twimg.com/media/DtzT3XMWoAEO0Fm.jpg" TargetMode="External"/><Relationship Id="rId724" Type="http://schemas.openxmlformats.org/officeDocument/2006/relationships/hyperlink" Target="http://pic.twitter.com/I6sNtMichv" TargetMode="External"/><Relationship Id="rId931" Type="http://schemas.openxmlformats.org/officeDocument/2006/relationships/hyperlink" Target="https://youtu.be/vAdPrKzQ2vE" TargetMode="External"/><Relationship Id="rId1147" Type="http://schemas.openxmlformats.org/officeDocument/2006/relationships/hyperlink" Target="https://twitter.com/ArwenPlaza/status/1070463190641901570" TargetMode="External"/><Relationship Id="rId1354" Type="http://schemas.openxmlformats.org/officeDocument/2006/relationships/hyperlink" Target="https://pbs.twimg.com/media/DtrB0aLW0AEQSnV.jpg" TargetMode="External"/><Relationship Id="rId1561" Type="http://schemas.openxmlformats.org/officeDocument/2006/relationships/hyperlink" Target="https://curiouscat.me/santamartart5/post/724966649?t=1544018894" TargetMode="External"/><Relationship Id="rId2405" Type="http://schemas.openxmlformats.org/officeDocument/2006/relationships/hyperlink" Target="https://pbs.twimg.com/media/Dtk6SIBWsAAgcIZ.jpg" TargetMode="External"/><Relationship Id="rId60" Type="http://schemas.openxmlformats.org/officeDocument/2006/relationships/hyperlink" Target="http://pic.twitter.com/MdfwvNSZyy" TargetMode="External"/><Relationship Id="rId1007" Type="http://schemas.openxmlformats.org/officeDocument/2006/relationships/hyperlink" Target="http://pic.twitter.com/OdQg22YN5c" TargetMode="External"/><Relationship Id="rId1214" Type="http://schemas.openxmlformats.org/officeDocument/2006/relationships/hyperlink" Target="https://pbs.twimg.com/media/DtrAZ5YXgAE95ef.jpg" TargetMode="External"/><Relationship Id="rId1421" Type="http://schemas.openxmlformats.org/officeDocument/2006/relationships/hyperlink" Target="https://twitter.com/Santi_ABASCAL/status/1069949221175001089" TargetMode="External"/><Relationship Id="rId1659" Type="http://schemas.openxmlformats.org/officeDocument/2006/relationships/hyperlink" Target="https://www.telecinco.es/elprogramadeanarosa/entrevista-completa-lider-vox_2_2670180051.html" TargetMode="External"/><Relationship Id="rId1866" Type="http://schemas.openxmlformats.org/officeDocument/2006/relationships/hyperlink" Target="http://unicorntv.es/" TargetMode="External"/><Relationship Id="rId1519" Type="http://schemas.openxmlformats.org/officeDocument/2006/relationships/hyperlink" Target="https://ecoteuve.eleconomista.es/programas/noticias/9564085/12/18/Santiago-Abascal-y-Ana-Rosa-Quintana-se-enzarzan-por-la-violencia-machista-en-la-primera-entrevista-al-lider-de-Vox-.html" TargetMode="External"/><Relationship Id="rId1726" Type="http://schemas.openxmlformats.org/officeDocument/2006/relationships/hyperlink" Target="https://escaparateliterario.com/luisdesantos/" TargetMode="External"/><Relationship Id="rId1933" Type="http://schemas.openxmlformats.org/officeDocument/2006/relationships/hyperlink" Target="https://twitter.com/Miercolesfacha1/status/1070031922120810497" TargetMode="External"/><Relationship Id="rId18" Type="http://schemas.openxmlformats.org/officeDocument/2006/relationships/hyperlink" Target="https://pbs.twimg.com/media/Dt5-pMLWsAYfoRk.jpg" TargetMode="External"/><Relationship Id="rId2195" Type="http://schemas.openxmlformats.org/officeDocument/2006/relationships/hyperlink" Target="https://twitter.com/unaltredelleida/status/1069966106276831232" TargetMode="External"/><Relationship Id="rId167" Type="http://schemas.openxmlformats.org/officeDocument/2006/relationships/hyperlink" Target="https://pbs.twimg.com/media/Dt4AllGWwAAVZjw.jpg" TargetMode="External"/><Relationship Id="rId374" Type="http://schemas.openxmlformats.org/officeDocument/2006/relationships/hyperlink" Target="http://change.org/" TargetMode="External"/><Relationship Id="rId581" Type="http://schemas.openxmlformats.org/officeDocument/2006/relationships/hyperlink" Target="https://www.burladero.tv/opinion/con-un-par/2018/12/7/vox-populi-2542.html" TargetMode="External"/><Relationship Id="rId2055" Type="http://schemas.openxmlformats.org/officeDocument/2006/relationships/hyperlink" Target="https://www.youtube.com/watch?v=oIMxo0mWe0Q" TargetMode="External"/><Relationship Id="rId2262" Type="http://schemas.openxmlformats.org/officeDocument/2006/relationships/hyperlink" Target="https://twitter.com/eslatarde/status/1069976333038571521" TargetMode="External"/><Relationship Id="rId234" Type="http://schemas.openxmlformats.org/officeDocument/2006/relationships/hyperlink" Target="http://www.bitmomentum.com/" TargetMode="External"/><Relationship Id="rId679" Type="http://schemas.openxmlformats.org/officeDocument/2006/relationships/hyperlink" Target="https://youtu.be/a1bNckwMbak" TargetMode="External"/><Relationship Id="rId886" Type="http://schemas.openxmlformats.org/officeDocument/2006/relationships/hyperlink" Target="https://pbs.twimg.com/media/DtvOXGuV4AAdvzK.jpg" TargetMode="External"/><Relationship Id="rId2" Type="http://schemas.openxmlformats.org/officeDocument/2006/relationships/hyperlink" Target="http://www.sevillainfo.es/" TargetMode="External"/><Relationship Id="rId441" Type="http://schemas.openxmlformats.org/officeDocument/2006/relationships/hyperlink" Target="https://fjerezsocialmedia.com/" TargetMode="External"/><Relationship Id="rId539" Type="http://schemas.openxmlformats.org/officeDocument/2006/relationships/hyperlink" Target="https://maldita.es/malditodato/cuando-abascal-cobraba-mas-que-el-presidente-del-gobierno-por-cargos-a-dedo-pagados-con-dinero-publico/" TargetMode="External"/><Relationship Id="rId746" Type="http://schemas.openxmlformats.org/officeDocument/2006/relationships/hyperlink" Target="http://pic.twitter.com/zqqbAcdDZO" TargetMode="External"/><Relationship Id="rId1071" Type="http://schemas.openxmlformats.org/officeDocument/2006/relationships/hyperlink" Target="https://www.elconfidencial.com/elecciones-andalucia/2018-12-05/santiago-abascal-vox-extrema-necesidad_1687170/" TargetMode="External"/><Relationship Id="rId1169" Type="http://schemas.openxmlformats.org/officeDocument/2006/relationships/hyperlink" Target="https://pbs.twimg.com/media/DtfAAVBX4AEnDPJ.jpg" TargetMode="External"/><Relationship Id="rId1376" Type="http://schemas.openxmlformats.org/officeDocument/2006/relationships/hyperlink" Target="https://www.elplural.com/politica/santiago-abascal-carga-contra-elplural-com_207637102" TargetMode="External"/><Relationship Id="rId1583" Type="http://schemas.openxmlformats.org/officeDocument/2006/relationships/hyperlink" Target="http://pic.twitter.com/A70sesOpoz" TargetMode="External"/><Relationship Id="rId2122" Type="http://schemas.openxmlformats.org/officeDocument/2006/relationships/hyperlink" Target="http://pic.twitter.com/cdEbCiIIYd" TargetMode="External"/><Relationship Id="rId301" Type="http://schemas.openxmlformats.org/officeDocument/2006/relationships/hyperlink" Target="https://twitter.com/GuajeSalvaje/status/1071025902744715264" TargetMode="External"/><Relationship Id="rId953" Type="http://schemas.openxmlformats.org/officeDocument/2006/relationships/hyperlink" Target="https://pbs.twimg.com/media/DtsXlilWsAAUpWD.jpg" TargetMode="External"/><Relationship Id="rId1029" Type="http://schemas.openxmlformats.org/officeDocument/2006/relationships/hyperlink" Target="https://twitter.com/jmangues/status/1070601945583415296" TargetMode="External"/><Relationship Id="rId1236" Type="http://schemas.openxmlformats.org/officeDocument/2006/relationships/hyperlink" Target="https://pbs.twimg.com/media/Dtrn3TEWsAI6Rq6.jpg" TargetMode="External"/><Relationship Id="rId1790" Type="http://schemas.openxmlformats.org/officeDocument/2006/relationships/hyperlink" Target="https://twitter.com/elprogramadear/status/1070231423053950976" TargetMode="External"/><Relationship Id="rId1888" Type="http://schemas.openxmlformats.org/officeDocument/2006/relationships/hyperlink" Target="https://pbs.twimg.com/media/Dto6bV8WoAA7HOv.jpg" TargetMode="External"/><Relationship Id="rId82" Type="http://schemas.openxmlformats.org/officeDocument/2006/relationships/hyperlink" Target="https://youtu.be/Fwo8zkuXkvo" TargetMode="External"/><Relationship Id="rId606" Type="http://schemas.openxmlformats.org/officeDocument/2006/relationships/hyperlink" Target="https://www.elplural.com/politica/lo-nunca-contado-de-la-intima-amistad-entre-albert-rivera-y-santiago-abascal_207666102" TargetMode="External"/><Relationship Id="rId813" Type="http://schemas.openxmlformats.org/officeDocument/2006/relationships/hyperlink" Target="http://www.birraybarbarie.blogspot.com/" TargetMode="External"/><Relationship Id="rId1443" Type="http://schemas.openxmlformats.org/officeDocument/2006/relationships/hyperlink" Target="https://bit.ly/19hEuNb" TargetMode="External"/><Relationship Id="rId1650" Type="http://schemas.openxmlformats.org/officeDocument/2006/relationships/hyperlink" Target="http://www.youtube.com/channel/UC67v4QKS-XTl5ixCFppRnfQ?feature=res" TargetMode="External"/><Relationship Id="rId1748" Type="http://schemas.openxmlformats.org/officeDocument/2006/relationships/hyperlink" Target="http://www.telecinco.es/elprogramadeanarosa" TargetMode="External"/><Relationship Id="rId1303" Type="http://schemas.openxmlformats.org/officeDocument/2006/relationships/hyperlink" Target="https://www.voxespana.es/afiliarse-a-vox" TargetMode="External"/><Relationship Id="rId1510" Type="http://schemas.openxmlformats.org/officeDocument/2006/relationships/hyperlink" Target="http://i.instagram.com/4_selles/" TargetMode="External"/><Relationship Id="rId1955" Type="http://schemas.openxmlformats.org/officeDocument/2006/relationships/hyperlink" Target="https://pbs.twimg.com/media/Dtobl8IW0AAf6jK.jpg" TargetMode="External"/><Relationship Id="rId1608" Type="http://schemas.openxmlformats.org/officeDocument/2006/relationships/hyperlink" Target="https://pbs.twimg.com/media/DtpDwBTWkAEwQdD.jpg" TargetMode="External"/><Relationship Id="rId1815" Type="http://schemas.openxmlformats.org/officeDocument/2006/relationships/hyperlink" Target="http://ow.ly/VrvK30mRY1c" TargetMode="External"/><Relationship Id="rId189" Type="http://schemas.openxmlformats.org/officeDocument/2006/relationships/hyperlink" Target="https://twitter.com/ahorapodemos/status/1071107478820188160" TargetMode="External"/><Relationship Id="rId396" Type="http://schemas.openxmlformats.org/officeDocument/2006/relationships/hyperlink" Target="https://pbs.twimg.com/media/DtzwVbqX4AAJs-k.jpg" TargetMode="External"/><Relationship Id="rId2077" Type="http://schemas.openxmlformats.org/officeDocument/2006/relationships/hyperlink" Target="http://weirdorconfusing.com/" TargetMode="External"/><Relationship Id="rId2284" Type="http://schemas.openxmlformats.org/officeDocument/2006/relationships/hyperlink" Target="https://pbs.twimg.com/media/DtlaMFaWoAAhPP1.jpg" TargetMode="External"/><Relationship Id="rId256" Type="http://schemas.openxmlformats.org/officeDocument/2006/relationships/hyperlink" Target="https://www.ecorepublicano.es/2018/12/un-votante-de-podemos-destroza-santiago.html" TargetMode="External"/><Relationship Id="rId463" Type="http://schemas.openxmlformats.org/officeDocument/2006/relationships/hyperlink" Target="https://twitter.com/OCL_H/status/1070955657594056704" TargetMode="External"/><Relationship Id="rId670" Type="http://schemas.openxmlformats.org/officeDocument/2006/relationships/hyperlink" Target="https://www.youtube.com/channel/UCAj-LFssuCq7Lhx7IbIjqBg" TargetMode="External"/><Relationship Id="rId1093" Type="http://schemas.openxmlformats.org/officeDocument/2006/relationships/hyperlink" Target="https://www.periodistadigital.com/periodismo/tv/2018/12/05/ferreras-echenique-pistola-abascal-anguita-podemita-vox.shtml" TargetMode="External"/><Relationship Id="rId2144" Type="http://schemas.openxmlformats.org/officeDocument/2006/relationships/hyperlink" Target="http://pic.twitter.com/b824kRI4Sm" TargetMode="External"/><Relationship Id="rId2351" Type="http://schemas.openxmlformats.org/officeDocument/2006/relationships/hyperlink" Target="http://www.granadahoy.com/" TargetMode="External"/><Relationship Id="rId116" Type="http://schemas.openxmlformats.org/officeDocument/2006/relationships/hyperlink" Target="https://twitter.com/davidparrago/status/1071333586840838144" TargetMode="External"/><Relationship Id="rId323" Type="http://schemas.openxmlformats.org/officeDocument/2006/relationships/hyperlink" Target="https://okdiario.com/espana/2018/12/07/echenique-llama-torrente-abascal-santiago-segura-pone-sitio-3440190?utm_campaign=ok&amp;utm_medium=Social&amp;utm_source=Twitter" TargetMode="External"/><Relationship Id="rId530" Type="http://schemas.openxmlformats.org/officeDocument/2006/relationships/hyperlink" Target="https://pbs.twimg.com/media/Dtz1j9dXcAAX1bA.jpg" TargetMode="External"/><Relationship Id="rId768" Type="http://schemas.openxmlformats.org/officeDocument/2006/relationships/hyperlink" Target="https://pbs.twimg.com/media/DtqX3dDX4AEhOEy.jpg" TargetMode="External"/><Relationship Id="rId975" Type="http://schemas.openxmlformats.org/officeDocument/2006/relationships/hyperlink" Target="https://pbs.twimg.com/media/DtugEMxWwAU8h7X.jpg" TargetMode="External"/><Relationship Id="rId1160" Type="http://schemas.openxmlformats.org/officeDocument/2006/relationships/hyperlink" Target="https://www.youtube.com/rafikiscope" TargetMode="External"/><Relationship Id="rId1398" Type="http://schemas.openxmlformats.org/officeDocument/2006/relationships/hyperlink" Target="https://pbs.twimg.com/media/Dtq2jNZWsAInuxz.jpg" TargetMode="External"/><Relationship Id="rId2004" Type="http://schemas.openxmlformats.org/officeDocument/2006/relationships/hyperlink" Target="https://pbs.twimg.com/media/DtnAWv5WwAA1zZ0.jpg" TargetMode="External"/><Relationship Id="rId2211" Type="http://schemas.openxmlformats.org/officeDocument/2006/relationships/hyperlink" Target="https://twitter.com/Santi_ABASCAL/status/235006194975117312" TargetMode="External"/><Relationship Id="rId628" Type="http://schemas.openxmlformats.org/officeDocument/2006/relationships/hyperlink" Target="https://twitter.com/trendinaliaES/timelines/1070923028555431936" TargetMode="External"/><Relationship Id="rId835" Type="http://schemas.openxmlformats.org/officeDocument/2006/relationships/hyperlink" Target="https://pbs.twimg.com/media/Dtvt1UjWoAI8uCq.jpg" TargetMode="External"/><Relationship Id="rId1258" Type="http://schemas.openxmlformats.org/officeDocument/2006/relationships/hyperlink" Target="https://twitter.com/El_Plural/status/1070367176169848833" TargetMode="External"/><Relationship Id="rId1465" Type="http://schemas.openxmlformats.org/officeDocument/2006/relationships/hyperlink" Target="https://pbs.twimg.com/media/DtqhzifX4AIgtjd.jpg" TargetMode="External"/><Relationship Id="rId1672" Type="http://schemas.openxmlformats.org/officeDocument/2006/relationships/hyperlink" Target="https://www.elmundo.es/espana/2018/12/05/5c07b140fc6c834c318b4680.html" TargetMode="External"/><Relationship Id="rId2309" Type="http://schemas.openxmlformats.org/officeDocument/2006/relationships/hyperlink" Target="https://pbs.twimg.com/media/DtlX1rQXQAMhjP8.jpg" TargetMode="External"/><Relationship Id="rId1020" Type="http://schemas.openxmlformats.org/officeDocument/2006/relationships/hyperlink" Target="http://www.cuandolotengalopongo.com/" TargetMode="External"/><Relationship Id="rId1118" Type="http://schemas.openxmlformats.org/officeDocument/2006/relationships/hyperlink" Target="http://www.lds.org/spa" TargetMode="External"/><Relationship Id="rId1325" Type="http://schemas.openxmlformats.org/officeDocument/2006/relationships/hyperlink" Target="http://www.casoaislado.com/" TargetMode="External"/><Relationship Id="rId1532" Type="http://schemas.openxmlformats.org/officeDocument/2006/relationships/hyperlink" Target="https://www.publico.es/internacional/dinamarca-propone-recluir-isla-deshabitada-migrantes-y-solicitantes-asilo-imposibles-expulsar.html" TargetMode="External"/><Relationship Id="rId1977" Type="http://schemas.openxmlformats.org/officeDocument/2006/relationships/hyperlink" Target="https://www.abc.es/sociedad/abci-rioja-obligara-esterilizar-todas-mascotas-201812042011_noticia.html" TargetMode="External"/><Relationship Id="rId902" Type="http://schemas.openxmlformats.org/officeDocument/2006/relationships/hyperlink" Target="https://www.elnortedecastilla.es/palencia/polaco-juzgado-maltrato-20181205220149-nt.html" TargetMode="External"/><Relationship Id="rId1837" Type="http://schemas.openxmlformats.org/officeDocument/2006/relationships/hyperlink" Target="https://pbs.twimg.com/media/DtpC4TTUwAAp5YZ.jpg" TargetMode="External"/><Relationship Id="rId31" Type="http://schemas.openxmlformats.org/officeDocument/2006/relationships/hyperlink" Target="https://twitter.com/guarge/status/1071415889168359424" TargetMode="External"/><Relationship Id="rId2099" Type="http://schemas.openxmlformats.org/officeDocument/2006/relationships/hyperlink" Target="http://www.bitmomentum.com/" TargetMode="External"/><Relationship Id="rId180" Type="http://schemas.openxmlformats.org/officeDocument/2006/relationships/hyperlink" Target="http://pic.twitter.com/5Rv54qxvWB" TargetMode="External"/><Relationship Id="rId278" Type="http://schemas.openxmlformats.org/officeDocument/2006/relationships/hyperlink" Target="http://pic.twitter.com/r1w3ZHCqG6" TargetMode="External"/><Relationship Id="rId1904" Type="http://schemas.openxmlformats.org/officeDocument/2006/relationships/hyperlink" Target="http://www.bitmomentum.com/" TargetMode="External"/><Relationship Id="rId485" Type="http://schemas.openxmlformats.org/officeDocument/2006/relationships/hyperlink" Target="https://www.youtube.com/watch?v=5h-yGC7atBs" TargetMode="External"/><Relationship Id="rId692" Type="http://schemas.openxmlformats.org/officeDocument/2006/relationships/hyperlink" Target="http://instagram.com/hectorlozano113" TargetMode="External"/><Relationship Id="rId2166" Type="http://schemas.openxmlformats.org/officeDocument/2006/relationships/hyperlink" Target="http://pic.twitter.com/byjpUK3KTq" TargetMode="External"/><Relationship Id="rId2373" Type="http://schemas.openxmlformats.org/officeDocument/2006/relationships/hyperlink" Target="https://youtu.be/2PoI1Qtn0XA" TargetMode="External"/><Relationship Id="rId138" Type="http://schemas.openxmlformats.org/officeDocument/2006/relationships/hyperlink" Target="https://pbs.twimg.com/media/Dt4bxw6WoAAwOmr.jpg" TargetMode="External"/><Relationship Id="rId345" Type="http://schemas.openxmlformats.org/officeDocument/2006/relationships/hyperlink" Target="http://dondiario.com/" TargetMode="External"/><Relationship Id="rId552" Type="http://schemas.openxmlformats.org/officeDocument/2006/relationships/hyperlink" Target="https://pbs.twimg.com/media/DtzqfvtWoAA4K30.jpg" TargetMode="External"/><Relationship Id="rId997" Type="http://schemas.openxmlformats.org/officeDocument/2006/relationships/hyperlink" Target="https://www.voxespana.es/" TargetMode="External"/><Relationship Id="rId1182" Type="http://schemas.openxmlformats.org/officeDocument/2006/relationships/hyperlink" Target="http://instagram.com/donyesu" TargetMode="External"/><Relationship Id="rId2026" Type="http://schemas.openxmlformats.org/officeDocument/2006/relationships/hyperlink" Target="http://www.inakipinuel.com/" TargetMode="External"/><Relationship Id="rId2233" Type="http://schemas.openxmlformats.org/officeDocument/2006/relationships/hyperlink" Target="http://www.javiergella.com/" TargetMode="External"/><Relationship Id="rId205" Type="http://schemas.openxmlformats.org/officeDocument/2006/relationships/hyperlink" Target="https://www.telecinco.es/elprogramadeanarosa/entrevista-completa-lider-vox_2_2670180051.html" TargetMode="External"/><Relationship Id="rId412" Type="http://schemas.openxmlformats.org/officeDocument/2006/relationships/hyperlink" Target="https://pbs.twimg.com/media/Dt0bCMwWoAAXK7G.jpg" TargetMode="External"/><Relationship Id="rId857" Type="http://schemas.openxmlformats.org/officeDocument/2006/relationships/hyperlink" Target="http://pic.twitter.com/wUKuS8oHy9" TargetMode="External"/><Relationship Id="rId1042" Type="http://schemas.openxmlformats.org/officeDocument/2006/relationships/hyperlink" Target="https://youtu.be/1o2gWaa0ZFs" TargetMode="External"/><Relationship Id="rId1487" Type="http://schemas.openxmlformats.org/officeDocument/2006/relationships/hyperlink" Target="https://youtu.be/EdpZF3nLMF8" TargetMode="External"/><Relationship Id="rId1694" Type="http://schemas.openxmlformats.org/officeDocument/2006/relationships/hyperlink" Target="https://www.instagram.com/sansonberlin/" TargetMode="External"/><Relationship Id="rId2300" Type="http://schemas.openxmlformats.org/officeDocument/2006/relationships/hyperlink" Target="https://youtu.be/RaSIX4-RPAI" TargetMode="External"/><Relationship Id="rId717" Type="http://schemas.openxmlformats.org/officeDocument/2006/relationships/hyperlink" Target="http://pic.twitter.com/5VAnVc6Tfu" TargetMode="External"/><Relationship Id="rId924" Type="http://schemas.openxmlformats.org/officeDocument/2006/relationships/hyperlink" Target="https://pbs.twimg.com/media/Dtu4cL0XQAUoFep.jpg" TargetMode="External"/><Relationship Id="rId1347" Type="http://schemas.openxmlformats.org/officeDocument/2006/relationships/hyperlink" Target="https://pbs.twimg.com/media/DtrAZ5YXgAE95ef.jpg" TargetMode="External"/><Relationship Id="rId1554" Type="http://schemas.openxmlformats.org/officeDocument/2006/relationships/hyperlink" Target="https://pbs.twimg.com/media/DtqMevHXcAIbjhS.jpg" TargetMode="External"/><Relationship Id="rId1761" Type="http://schemas.openxmlformats.org/officeDocument/2006/relationships/hyperlink" Target="https://pbs.twimg.com/media/DtpSIPMWsAA8nMe.jpg" TargetMode="External"/><Relationship Id="rId1999" Type="http://schemas.openxmlformats.org/officeDocument/2006/relationships/hyperlink" Target="https://pbs.twimg.com/media/DtnB3bJXgAAK4TL.jpg" TargetMode="External"/><Relationship Id="rId53" Type="http://schemas.openxmlformats.org/officeDocument/2006/relationships/hyperlink" Target="https://twitter.com/alsan73/status/1071376559771189253" TargetMode="External"/><Relationship Id="rId1207" Type="http://schemas.openxmlformats.org/officeDocument/2006/relationships/hyperlink" Target="https://pbs.twimg.com/media/DtrZ0bGWoAAVOzH.jpg" TargetMode="External"/><Relationship Id="rId1414" Type="http://schemas.openxmlformats.org/officeDocument/2006/relationships/hyperlink" Target="https://pbs.twimg.com/media/DtqxyqiXQAAodwY.jpg" TargetMode="External"/><Relationship Id="rId1621" Type="http://schemas.openxmlformats.org/officeDocument/2006/relationships/hyperlink" Target="https://pbs.twimg.com/media/Dtplw3mWwAAVSGz.jpg" TargetMode="External"/><Relationship Id="rId1859" Type="http://schemas.openxmlformats.org/officeDocument/2006/relationships/hyperlink" Target="http://sonsolesonega.com/" TargetMode="External"/><Relationship Id="rId1719" Type="http://schemas.openxmlformats.org/officeDocument/2006/relationships/hyperlink" Target="https://pbs.twimg.com/media/DtpbimBWkAApERE.jpg" TargetMode="External"/><Relationship Id="rId1926" Type="http://schemas.openxmlformats.org/officeDocument/2006/relationships/hyperlink" Target="https://okdiario.com/opinion/2018/12/05/hasta-donde-va-llegar-esta-campana-acoso-3429149" TargetMode="External"/><Relationship Id="rId2090" Type="http://schemas.openxmlformats.org/officeDocument/2006/relationships/hyperlink" Target="http://www.respuestasveganas.org/" TargetMode="External"/><Relationship Id="rId2188" Type="http://schemas.openxmlformats.org/officeDocument/2006/relationships/hyperlink" Target="https://www.instagram.com/ginesestyle/" TargetMode="External"/><Relationship Id="rId2395" Type="http://schemas.openxmlformats.org/officeDocument/2006/relationships/hyperlink" Target="https://youtu.be/S8_g6JS2z24" TargetMode="External"/><Relationship Id="rId367" Type="http://schemas.openxmlformats.org/officeDocument/2006/relationships/hyperlink" Target="https://twitter.com/Alternativa_VOX/status/1070724183422889985" TargetMode="External"/><Relationship Id="rId574" Type="http://schemas.openxmlformats.org/officeDocument/2006/relationships/hyperlink" Target="https://twitter.com/HispaniaFortius" TargetMode="External"/><Relationship Id="rId2048" Type="http://schemas.openxmlformats.org/officeDocument/2006/relationships/hyperlink" Target="https://pbs.twimg.com/media/DtmgPz6WkAAWF2L.jpg" TargetMode="External"/><Relationship Id="rId2255" Type="http://schemas.openxmlformats.org/officeDocument/2006/relationships/hyperlink" Target="http://blogs.libertaddigital.com/enigmas-del-11-m/" TargetMode="External"/><Relationship Id="rId227" Type="http://schemas.openxmlformats.org/officeDocument/2006/relationships/hyperlink" Target="https://pbs.twimg.com/media/Dt2lGboXgAA6_Iu.jpg" TargetMode="External"/><Relationship Id="rId781" Type="http://schemas.openxmlformats.org/officeDocument/2006/relationships/hyperlink" Target="https://pbs.twimg.com/media/DtvgQ3BW4AAPjBO.jpg" TargetMode="External"/><Relationship Id="rId879" Type="http://schemas.openxmlformats.org/officeDocument/2006/relationships/hyperlink" Target="https://pbs.twimg.com/media/DtvQVpuUUAAhsoZ.jpg" TargetMode="External"/><Relationship Id="rId434" Type="http://schemas.openxmlformats.org/officeDocument/2006/relationships/hyperlink" Target="https://www.periodistadigital.com/periodismo/tv/2018/12/07/nueva-burla-vox-escocidito-evole-cuesta-memorable-bano-twitter-sanguijuela-santi-abascal.shtml" TargetMode="External"/><Relationship Id="rId641" Type="http://schemas.openxmlformats.org/officeDocument/2006/relationships/hyperlink" Target="http://pic.twitter.com/HVD6msgDY1" TargetMode="External"/><Relationship Id="rId739" Type="http://schemas.openxmlformats.org/officeDocument/2006/relationships/hyperlink" Target="http://pic.twitter.com/Dillzr4HdC" TargetMode="External"/><Relationship Id="rId1064" Type="http://schemas.openxmlformats.org/officeDocument/2006/relationships/hyperlink" Target="https://pbs.twimg.com/media/DtrTZDMWwAI4mUo.jpg" TargetMode="External"/><Relationship Id="rId1271" Type="http://schemas.openxmlformats.org/officeDocument/2006/relationships/hyperlink" Target="https://pbs.twimg.com/media/DtrenrzX4AEqHHy.jpg" TargetMode="External"/><Relationship Id="rId1369" Type="http://schemas.openxmlformats.org/officeDocument/2006/relationships/hyperlink" Target="https://pbs.twimg.com/media/Dtq-P3-WwAApFaj.png" TargetMode="External"/><Relationship Id="rId1576" Type="http://schemas.openxmlformats.org/officeDocument/2006/relationships/hyperlink" Target="http://ostrakonia.blogspot.com/" TargetMode="External"/><Relationship Id="rId2115" Type="http://schemas.openxmlformats.org/officeDocument/2006/relationships/hyperlink" Target="http://blogloscarrellanqqccmh.blogspot.com.es/" TargetMode="External"/><Relationship Id="rId2322" Type="http://schemas.openxmlformats.org/officeDocument/2006/relationships/hyperlink" Target="https://youtu.be/S8_g6JS2z24" TargetMode="External"/><Relationship Id="rId501" Type="http://schemas.openxmlformats.org/officeDocument/2006/relationships/hyperlink" Target="http://www.aloeforever.info/" TargetMode="External"/><Relationship Id="rId946" Type="http://schemas.openxmlformats.org/officeDocument/2006/relationships/hyperlink" Target="http://laboratorio-mabuse.blogspot.com/" TargetMode="External"/><Relationship Id="rId1131" Type="http://schemas.openxmlformats.org/officeDocument/2006/relationships/hyperlink" Target="https://pbs.twimg.com/media/DtsdQcWW4AA0ymK.jpg" TargetMode="External"/><Relationship Id="rId1229" Type="http://schemas.openxmlformats.org/officeDocument/2006/relationships/hyperlink" Target="http://www.bitmomentum.com/" TargetMode="External"/><Relationship Id="rId1783" Type="http://schemas.openxmlformats.org/officeDocument/2006/relationships/hyperlink" Target="http://albertosanzblanco.wordpress.com/" TargetMode="External"/><Relationship Id="rId1990" Type="http://schemas.openxmlformats.org/officeDocument/2006/relationships/hyperlink" Target="http://www.diariosdelaincertidumbre.com/" TargetMode="External"/><Relationship Id="rId75" Type="http://schemas.openxmlformats.org/officeDocument/2006/relationships/hyperlink" Target="http://www.bitmomentum.com/" TargetMode="External"/><Relationship Id="rId806" Type="http://schemas.openxmlformats.org/officeDocument/2006/relationships/hyperlink" Target="https://eldebate.es/identidad/los-peligros-del-silencioso-pacto-global-de-la-onu-para-la-migracion-20181128?utm_medium=social&amp;utm_source=twitter&amp;utm_campaign=shareweb&amp;utm_content=footer&amp;utm_origin=footer" TargetMode="External"/><Relationship Id="rId1436" Type="http://schemas.openxmlformats.org/officeDocument/2006/relationships/hyperlink" Target="https://twitter.com/AuradeCristal87/status/1069935516714446848" TargetMode="External"/><Relationship Id="rId1643" Type="http://schemas.openxmlformats.org/officeDocument/2006/relationships/hyperlink" Target="https://pbs.twimg.com/media/DtpujlEWoAIG-QM.jpg" TargetMode="External"/><Relationship Id="rId1850" Type="http://schemas.openxmlformats.org/officeDocument/2006/relationships/hyperlink" Target="http://eleconomista.es/" TargetMode="External"/><Relationship Id="rId1503" Type="http://schemas.openxmlformats.org/officeDocument/2006/relationships/hyperlink" Target="http://www.madrid.org/fp" TargetMode="External"/><Relationship Id="rId1710" Type="http://schemas.openxmlformats.org/officeDocument/2006/relationships/hyperlink" Target="http://www.bitmomentum.com/" TargetMode="External"/><Relationship Id="rId1948" Type="http://schemas.openxmlformats.org/officeDocument/2006/relationships/hyperlink" Target="http://www.voxespana.es/" TargetMode="External"/><Relationship Id="rId291" Type="http://schemas.openxmlformats.org/officeDocument/2006/relationships/hyperlink" Target="http://elclubdelosviernes.org/" TargetMode="External"/><Relationship Id="rId1808" Type="http://schemas.openxmlformats.org/officeDocument/2006/relationships/hyperlink" Target="https://www.youtube.com/channel/UCexeGKNKvqaADqyAWVk5vHQ" TargetMode="External"/><Relationship Id="rId151" Type="http://schemas.openxmlformats.org/officeDocument/2006/relationships/hyperlink" Target="http://diegojgonzalez.com/" TargetMode="External"/><Relationship Id="rId389" Type="http://schemas.openxmlformats.org/officeDocument/2006/relationships/hyperlink" Target="https://pbs.twimg.com/media/Dt08D49VYAAEdVq.jpg" TargetMode="External"/><Relationship Id="rId596" Type="http://schemas.openxmlformats.org/officeDocument/2006/relationships/hyperlink" Target="https://pbs.twimg.com/media/DtzRqlgW4AAHvCm.jpg" TargetMode="External"/><Relationship Id="rId2277" Type="http://schemas.openxmlformats.org/officeDocument/2006/relationships/hyperlink" Target="http://www.cope.es/toros" TargetMode="External"/><Relationship Id="rId249" Type="http://schemas.openxmlformats.org/officeDocument/2006/relationships/hyperlink" Target="https://youtu.be/1o2gWaa0ZFs" TargetMode="External"/><Relationship Id="rId456" Type="http://schemas.openxmlformats.org/officeDocument/2006/relationships/hyperlink" Target="http://instagram.com/teodorovox" TargetMode="External"/><Relationship Id="rId663" Type="http://schemas.openxmlformats.org/officeDocument/2006/relationships/hyperlink" Target="https://www.youtube.com/watch?v=o8gr2GyyM34" TargetMode="External"/><Relationship Id="rId870" Type="http://schemas.openxmlformats.org/officeDocument/2006/relationships/hyperlink" Target="http://www.cope.es/" TargetMode="External"/><Relationship Id="rId1086" Type="http://schemas.openxmlformats.org/officeDocument/2006/relationships/hyperlink" Target="http://trendinalia.com/twitter-trending-topics/spain/" TargetMode="External"/><Relationship Id="rId1293" Type="http://schemas.openxmlformats.org/officeDocument/2006/relationships/hyperlink" Target="http://favstar.fm/users/fukermix" TargetMode="External"/><Relationship Id="rId2137" Type="http://schemas.openxmlformats.org/officeDocument/2006/relationships/hyperlink" Target="http://www.afp.com/" TargetMode="External"/><Relationship Id="rId2344" Type="http://schemas.openxmlformats.org/officeDocument/2006/relationships/hyperlink" Target="http://www.flickr.com/juanjomellado" TargetMode="External"/><Relationship Id="rId109" Type="http://schemas.openxmlformats.org/officeDocument/2006/relationships/hyperlink" Target="http://pic.twitter.com/BA9tUYKGZa" TargetMode="External"/><Relationship Id="rId316" Type="http://schemas.openxmlformats.org/officeDocument/2006/relationships/hyperlink" Target="https://twitter.com/ahorapodemos/status/1071107478820188160" TargetMode="External"/><Relationship Id="rId523" Type="http://schemas.openxmlformats.org/officeDocument/2006/relationships/hyperlink" Target="http://jordiwhatstudios.com/" TargetMode="External"/><Relationship Id="rId968" Type="http://schemas.openxmlformats.org/officeDocument/2006/relationships/hyperlink" Target="http://www.voxespana.es/" TargetMode="External"/><Relationship Id="rId1153" Type="http://schemas.openxmlformats.org/officeDocument/2006/relationships/hyperlink" Target="https://books.google.es/books?id=vyeZAwAAQBAJ&amp;pg=PT226&amp;lpg=PT226&amp;dq=M.+Abascal+Pardo&amp;source=bl&amp;ots=LGvoogLsAp&amp;sig=W91H64sif6wfmZYUuXXi9ft03DA&amp;hl=es&amp;sa=X&amp;ved=2ahUKEwjdiOfa5YnfAhWsDMAKHVcJBv0Q6AEwAnoECAgQAQ" TargetMode="External"/><Relationship Id="rId1598" Type="http://schemas.openxmlformats.org/officeDocument/2006/relationships/hyperlink" Target="http://okdiario.com/" TargetMode="External"/><Relationship Id="rId2204" Type="http://schemas.openxmlformats.org/officeDocument/2006/relationships/hyperlink" Target="http://www.publico.es/" TargetMode="External"/><Relationship Id="rId97" Type="http://schemas.openxmlformats.org/officeDocument/2006/relationships/hyperlink" Target="http://pic.twitter.com/OvpV8M0MTh" TargetMode="External"/><Relationship Id="rId730" Type="http://schemas.openxmlformats.org/officeDocument/2006/relationships/hyperlink" Target="https://pbs.twimg.com/media/DtwySN0WsAEXWz6.jpg" TargetMode="External"/><Relationship Id="rId828" Type="http://schemas.openxmlformats.org/officeDocument/2006/relationships/hyperlink" Target="https://frml.tv/86743" TargetMode="External"/><Relationship Id="rId1013" Type="http://schemas.openxmlformats.org/officeDocument/2006/relationships/hyperlink" Target="http://voyager.jpl.nasa.gov/" TargetMode="External"/><Relationship Id="rId1360" Type="http://schemas.openxmlformats.org/officeDocument/2006/relationships/hyperlink" Target="https://pbs.twimg.com/media/DtrAM3VX4AAdnOO.jpg" TargetMode="External"/><Relationship Id="rId1458" Type="http://schemas.openxmlformats.org/officeDocument/2006/relationships/hyperlink" Target="http://www.bitmomentum.com/" TargetMode="External"/><Relationship Id="rId1665" Type="http://schemas.openxmlformats.org/officeDocument/2006/relationships/hyperlink" Target="https://www.mediterraneodigital.com/espana/nacional/santiago-abascal-en-el-programa-de-ar-somos-un-partido-de-extrema-necesidad.html" TargetMode="External"/><Relationship Id="rId1872" Type="http://schemas.openxmlformats.org/officeDocument/2006/relationships/hyperlink" Target="http://www.merecessaberlo.es/" TargetMode="External"/><Relationship Id="rId1220" Type="http://schemas.openxmlformats.org/officeDocument/2006/relationships/hyperlink" Target="https://pbs.twimg.com/media/DtrsXa9W4AEOXcs.jpg" TargetMode="External"/><Relationship Id="rId1318" Type="http://schemas.openxmlformats.org/officeDocument/2006/relationships/hyperlink" Target="https://www.instagram.com/_saradylan/" TargetMode="External"/><Relationship Id="rId1525" Type="http://schemas.openxmlformats.org/officeDocument/2006/relationships/hyperlink" Target="http://www.bitmomentum.com/" TargetMode="External"/><Relationship Id="rId1732" Type="http://schemas.openxmlformats.org/officeDocument/2006/relationships/hyperlink" Target="https://pbs.twimg.com/media/DtpW-7RXgAA-TtL.jpg" TargetMode="External"/><Relationship Id="rId24" Type="http://schemas.openxmlformats.org/officeDocument/2006/relationships/hyperlink" Target="https://spanishpolice.github.io/" TargetMode="External"/><Relationship Id="rId2299" Type="http://schemas.openxmlformats.org/officeDocument/2006/relationships/hyperlink" Target="http://www.youtube.com/eltubedealfonsomora" TargetMode="External"/><Relationship Id="rId173" Type="http://schemas.openxmlformats.org/officeDocument/2006/relationships/hyperlink" Target="http://www.larazon.es/" TargetMode="External"/><Relationship Id="rId380" Type="http://schemas.openxmlformats.org/officeDocument/2006/relationships/hyperlink" Target="http://voxespana.es/vox" TargetMode="External"/><Relationship Id="rId2061" Type="http://schemas.openxmlformats.org/officeDocument/2006/relationships/hyperlink" Target="http://elclubdelosviernes.org/" TargetMode="External"/><Relationship Id="rId240" Type="http://schemas.openxmlformats.org/officeDocument/2006/relationships/hyperlink" Target="https://okdiario.com/espana/2018/12/07/separatistas-manipulan-foto-abascal-mostrarle-besando-tumba-franco-3440935" TargetMode="External"/><Relationship Id="rId478" Type="http://schemas.openxmlformats.org/officeDocument/2006/relationships/hyperlink" Target="https://www.facebook.com/carmelodifazioescritor/" TargetMode="External"/><Relationship Id="rId685" Type="http://schemas.openxmlformats.org/officeDocument/2006/relationships/hyperlink" Target="http://rtve.es/n/1849541" TargetMode="External"/><Relationship Id="rId892" Type="http://schemas.openxmlformats.org/officeDocument/2006/relationships/hyperlink" Target="http://noticias.juridicas.com/base_datos/Penal/lo10-1995.l2t21.html" TargetMode="External"/><Relationship Id="rId2159" Type="http://schemas.openxmlformats.org/officeDocument/2006/relationships/hyperlink" Target="http://agorafutura.wordpress.com/" TargetMode="External"/><Relationship Id="rId2366" Type="http://schemas.openxmlformats.org/officeDocument/2006/relationships/hyperlink" Target="http://www.europasur.es/" TargetMode="External"/><Relationship Id="rId100" Type="http://schemas.openxmlformats.org/officeDocument/2006/relationships/hyperlink" Target="https://pbs.twimg.com/media/Dt411T8WkAITt3k.jpg" TargetMode="External"/><Relationship Id="rId338" Type="http://schemas.openxmlformats.org/officeDocument/2006/relationships/hyperlink" Target="http://www.elcuentakilometros.com/" TargetMode="External"/><Relationship Id="rId545" Type="http://schemas.openxmlformats.org/officeDocument/2006/relationships/hyperlink" Target="https://peru21.pe/opinion/ensayos-impopulares-aldo-mariategui/llegaran-445015" TargetMode="External"/><Relationship Id="rId752" Type="http://schemas.openxmlformats.org/officeDocument/2006/relationships/hyperlink" Target="http://pic.twitter.com/P4q16pT5Wv" TargetMode="External"/><Relationship Id="rId1175" Type="http://schemas.openxmlformats.org/officeDocument/2006/relationships/hyperlink" Target="http://riojavioleta.com/" TargetMode="External"/><Relationship Id="rId1382" Type="http://schemas.openxmlformats.org/officeDocument/2006/relationships/hyperlink" Target="https://pbs.twimg.com/media/Dtq6-IVW4AADnhs.jpg" TargetMode="External"/><Relationship Id="rId2019" Type="http://schemas.openxmlformats.org/officeDocument/2006/relationships/hyperlink" Target="http://pic.twitter.com/MBqQwgWZHw" TargetMode="External"/><Relationship Id="rId2226" Type="http://schemas.openxmlformats.org/officeDocument/2006/relationships/hyperlink" Target="http://www.publico.es/" TargetMode="External"/><Relationship Id="rId405" Type="http://schemas.openxmlformats.org/officeDocument/2006/relationships/hyperlink" Target="http://www.expansion.com/economia/politica/2018/12/07/5c0a9132ca4741ab368b4604.html" TargetMode="External"/><Relationship Id="rId612" Type="http://schemas.openxmlformats.org/officeDocument/2006/relationships/hyperlink" Target="http://pic.twitter.com/zqqbAcdDZO" TargetMode="External"/><Relationship Id="rId1035" Type="http://schemas.openxmlformats.org/officeDocument/2006/relationships/hyperlink" Target="http://pisayhabla.blogspot.com/" TargetMode="External"/><Relationship Id="rId1242" Type="http://schemas.openxmlformats.org/officeDocument/2006/relationships/hyperlink" Target="https://pbs.twimg.com/media/DtrniN2WkAAVTXh.jpg" TargetMode="External"/><Relationship Id="rId1687" Type="http://schemas.openxmlformats.org/officeDocument/2006/relationships/hyperlink" Target="https://pbs.twimg.com/media/Dtpa3fFW4AAFXUj.jpg" TargetMode="External"/><Relationship Id="rId1894" Type="http://schemas.openxmlformats.org/officeDocument/2006/relationships/hyperlink" Target="https://twitter.com/Santi_ABASCAL/status/1069949221175001089" TargetMode="External"/><Relationship Id="rId917" Type="http://schemas.openxmlformats.org/officeDocument/2006/relationships/hyperlink" Target="https://pbs.twimg.com/media/Dtu94XHW4AAJpev.jpg" TargetMode="External"/><Relationship Id="rId1102" Type="http://schemas.openxmlformats.org/officeDocument/2006/relationships/hyperlink" Target="http://www.ovb.es/" TargetMode="External"/><Relationship Id="rId1547" Type="http://schemas.openxmlformats.org/officeDocument/2006/relationships/hyperlink" Target="https://pbs.twimg.com/media/DtpDwBTWkAEwQdD.jpg" TargetMode="External"/><Relationship Id="rId1754" Type="http://schemas.openxmlformats.org/officeDocument/2006/relationships/hyperlink" Target="https://pbs.twimg.com/media/DtpRlCFXcAAOfji.jpg" TargetMode="External"/><Relationship Id="rId1961" Type="http://schemas.openxmlformats.org/officeDocument/2006/relationships/hyperlink" Target="https://www.cope.es/actualidad/espana/amp/noticias/abascal-pim-pam-pum-dia-que-lider-vox-fue-golpeado-escupido-por-batasunos-20181204_304935?__twitter_impression=true" TargetMode="External"/><Relationship Id="rId46" Type="http://schemas.openxmlformats.org/officeDocument/2006/relationships/hyperlink" Target="https://twitter.com/doguionrego/status/1071407462337667072" TargetMode="External"/><Relationship Id="rId1407" Type="http://schemas.openxmlformats.org/officeDocument/2006/relationships/hyperlink" Target="http://ww.cope.es/khu0i2" TargetMode="External"/><Relationship Id="rId1614" Type="http://schemas.openxmlformats.org/officeDocument/2006/relationships/hyperlink" Target="https://www.youtube.com/channel/UCZblSxEQw1XJ2B3vrY1g2YQ" TargetMode="External"/><Relationship Id="rId1821" Type="http://schemas.openxmlformats.org/officeDocument/2006/relationships/hyperlink" Target="https://ecoteuve.eleconomista.es/programas/noticias/9564085/12/18/Santiago-Abascal-y-Ana-Rosa-Quintana-se-enzarzan-por-la-violencia-machista-en-la-primera-entrevista-al-lider-de-Vox-.html" TargetMode="External"/><Relationship Id="rId195" Type="http://schemas.openxmlformats.org/officeDocument/2006/relationships/hyperlink" Target="https://pbs.twimg.com/media/Dtq0aryW0AEa-YT.jpg" TargetMode="External"/><Relationship Id="rId1919" Type="http://schemas.openxmlformats.org/officeDocument/2006/relationships/hyperlink" Target="http://www.diariovasco.com/" TargetMode="External"/><Relationship Id="rId2083" Type="http://schemas.openxmlformats.org/officeDocument/2006/relationships/hyperlink" Target="https://pbs.twimg.com/media/DtmeuxjW0AEr1sg.jpg" TargetMode="External"/><Relationship Id="rId2290" Type="http://schemas.openxmlformats.org/officeDocument/2006/relationships/hyperlink" Target="https://twitter.com/Tancred31585095/status/1069971142990065664" TargetMode="External"/><Relationship Id="rId2388" Type="http://schemas.openxmlformats.org/officeDocument/2006/relationships/hyperlink" Target="https://twitter.com/vox_es/status/1069346607257305088" TargetMode="External"/><Relationship Id="rId262" Type="http://schemas.openxmlformats.org/officeDocument/2006/relationships/hyperlink" Target="https://www.elespanol.com/bluper/noticias/irresponsabilidad-ana-rosa-telecinco-humanizando-santiago-abascal-ultraderecha" TargetMode="External"/><Relationship Id="rId567" Type="http://schemas.openxmlformats.org/officeDocument/2006/relationships/hyperlink" Target="http://pic.twitter.com/gPdFkSV4zG" TargetMode="External"/><Relationship Id="rId1197" Type="http://schemas.openxmlformats.org/officeDocument/2006/relationships/hyperlink" Target="https://pbs.twimg.com/media/Dtr24VQWkAEwPRb.jpg" TargetMode="External"/><Relationship Id="rId2150" Type="http://schemas.openxmlformats.org/officeDocument/2006/relationships/hyperlink" Target="https://bit.ly/2rhvEgw" TargetMode="External"/><Relationship Id="rId2248" Type="http://schemas.openxmlformats.org/officeDocument/2006/relationships/hyperlink" Target="https://pbs.twimg.com/media/Dtlw1YxW0AASWEM.jpg" TargetMode="External"/><Relationship Id="rId122" Type="http://schemas.openxmlformats.org/officeDocument/2006/relationships/hyperlink" Target="http://pic.twitter.com/Q0rP8VUGoV" TargetMode="External"/><Relationship Id="rId774" Type="http://schemas.openxmlformats.org/officeDocument/2006/relationships/hyperlink" Target="https://youtu.be/vXGOrRjbpqA" TargetMode="External"/><Relationship Id="rId981" Type="http://schemas.openxmlformats.org/officeDocument/2006/relationships/hyperlink" Target="https://youtu.be/EdpZF3nLMF8" TargetMode="External"/><Relationship Id="rId1057" Type="http://schemas.openxmlformats.org/officeDocument/2006/relationships/hyperlink" Target="http://pic.twitter.com/sQQQMtGvUc" TargetMode="External"/><Relationship Id="rId2010" Type="http://schemas.openxmlformats.org/officeDocument/2006/relationships/hyperlink" Target="https://twitter.com/javiernegre10/status/1069908354686947328" TargetMode="External"/><Relationship Id="rId427" Type="http://schemas.openxmlformats.org/officeDocument/2006/relationships/hyperlink" Target="http://dlvr.it/Qt46xV" TargetMode="External"/><Relationship Id="rId634" Type="http://schemas.openxmlformats.org/officeDocument/2006/relationships/hyperlink" Target="http://pic.twitter.com/20yF6WPkHy" TargetMode="External"/><Relationship Id="rId841" Type="http://schemas.openxmlformats.org/officeDocument/2006/relationships/hyperlink" Target="http://www.sipepol.es/" TargetMode="External"/><Relationship Id="rId1264" Type="http://schemas.openxmlformats.org/officeDocument/2006/relationships/hyperlink" Target="http://lavozdegalicia.es/" TargetMode="External"/><Relationship Id="rId1471" Type="http://schemas.openxmlformats.org/officeDocument/2006/relationships/hyperlink" Target="https://www.abc.es/espana/abci-santiago-abascal-sanchez-no-dura-minuto-moncloa-si-adelanta-elecciones-201812042205_noticia.html" TargetMode="External"/><Relationship Id="rId1569" Type="http://schemas.openxmlformats.org/officeDocument/2006/relationships/hyperlink" Target="http://www.bitmomentum.com/" TargetMode="External"/><Relationship Id="rId2108" Type="http://schemas.openxmlformats.org/officeDocument/2006/relationships/hyperlink" Target="https://pbs.twimg.com/media/Dtme6y8XQAEuQOk.jpg" TargetMode="External"/><Relationship Id="rId2315" Type="http://schemas.openxmlformats.org/officeDocument/2006/relationships/hyperlink" Target="https://youtu.be/S8_g6JS2z24" TargetMode="External"/><Relationship Id="rId701" Type="http://schemas.openxmlformats.org/officeDocument/2006/relationships/hyperlink" Target="https://pbs.twimg.com/media/DtwySN0WsAEXWz6.jpg" TargetMode="External"/><Relationship Id="rId939" Type="http://schemas.openxmlformats.org/officeDocument/2006/relationships/hyperlink" Target="https://www.youtube.com/watch?v=EdpZF3nLMF8" TargetMode="External"/><Relationship Id="rId1124" Type="http://schemas.openxmlformats.org/officeDocument/2006/relationships/hyperlink" Target="https://twitter.com/Duelelab/status/1070059324519706624" TargetMode="External"/><Relationship Id="rId1331" Type="http://schemas.openxmlformats.org/officeDocument/2006/relationships/hyperlink" Target="http://www.bitmomentum.com/" TargetMode="External"/><Relationship Id="rId1776" Type="http://schemas.openxmlformats.org/officeDocument/2006/relationships/hyperlink" Target="https://www.elmundo.es/pais-vasco/2018/12/05/5c06ee5f21efa089208b4777.html" TargetMode="External"/><Relationship Id="rId1983" Type="http://schemas.openxmlformats.org/officeDocument/2006/relationships/hyperlink" Target="https://www.voxespana.es/" TargetMode="External"/><Relationship Id="rId68" Type="http://schemas.openxmlformats.org/officeDocument/2006/relationships/hyperlink" Target="http://page.is/ruben-dario" TargetMode="External"/><Relationship Id="rId1429" Type="http://schemas.openxmlformats.org/officeDocument/2006/relationships/hyperlink" Target="https://twitter.com/LaBella_2017/status/926733363930648576" TargetMode="External"/><Relationship Id="rId1636" Type="http://schemas.openxmlformats.org/officeDocument/2006/relationships/hyperlink" Target="https://pbs.twimg.com/media/Dtpw-XgWkAAQ-U7.jpg" TargetMode="External"/><Relationship Id="rId1843" Type="http://schemas.openxmlformats.org/officeDocument/2006/relationships/hyperlink" Target="http://www.ppmadrid.es/" TargetMode="External"/><Relationship Id="rId1703" Type="http://schemas.openxmlformats.org/officeDocument/2006/relationships/hyperlink" Target="https://www.eitb.eus/es/television/programas/en-jake/" TargetMode="External"/><Relationship Id="rId1910" Type="http://schemas.openxmlformats.org/officeDocument/2006/relationships/hyperlink" Target="http://lavoz.gal/aatkt2" TargetMode="External"/><Relationship Id="rId284" Type="http://schemas.openxmlformats.org/officeDocument/2006/relationships/hyperlink" Target="https://youtu.be/de1aPKXBdAE" TargetMode="External"/><Relationship Id="rId491" Type="http://schemas.openxmlformats.org/officeDocument/2006/relationships/hyperlink" Target="https://pbs.twimg.com/media/Dt0OWT5W0AMLGQG.jpg" TargetMode="External"/><Relationship Id="rId2172" Type="http://schemas.openxmlformats.org/officeDocument/2006/relationships/hyperlink" Target="https://www.cope.es/n/304935" TargetMode="External"/><Relationship Id="rId144" Type="http://schemas.openxmlformats.org/officeDocument/2006/relationships/hyperlink" Target="http://okdiario.com/" TargetMode="External"/><Relationship Id="rId589" Type="http://schemas.openxmlformats.org/officeDocument/2006/relationships/hyperlink" Target="https://twitter.com/VOXSevilla/status/1069701653845172224" TargetMode="External"/><Relationship Id="rId796" Type="http://schemas.openxmlformats.org/officeDocument/2006/relationships/hyperlink" Target="https://www.europapress.es/andalucia/almeria-00350/noticia-ascienden-119-inmigrantes-rescatados-jueves-tres-pateras-aguas-alboran-20181206180208.html" TargetMode="External"/><Relationship Id="rId351" Type="http://schemas.openxmlformats.org/officeDocument/2006/relationships/hyperlink" Target="https://twitter.com/RIVAS_Llanera/status/1071017610152738817" TargetMode="External"/><Relationship Id="rId449" Type="http://schemas.openxmlformats.org/officeDocument/2006/relationships/hyperlink" Target="https://youtu.be/Nr8xaEfA7PE" TargetMode="External"/><Relationship Id="rId656" Type="http://schemas.openxmlformats.org/officeDocument/2006/relationships/hyperlink" Target="https://www.juandemariana.org/el-ijm/personal/jose-augusto-dominguez" TargetMode="External"/><Relationship Id="rId863" Type="http://schemas.openxmlformats.org/officeDocument/2006/relationships/hyperlink" Target="https://pbs.twimg.com/media/DtvZKAqX4AAPyUO.jpg" TargetMode="External"/><Relationship Id="rId1079" Type="http://schemas.openxmlformats.org/officeDocument/2006/relationships/hyperlink" Target="https://twitter.com/hermanntertsch/status/1070411405864681472" TargetMode="External"/><Relationship Id="rId1286" Type="http://schemas.openxmlformats.org/officeDocument/2006/relationships/hyperlink" Target="https://pbs.twimg.com/media/DtrY1d9W4AEUSCi.jpg" TargetMode="External"/><Relationship Id="rId1493" Type="http://schemas.openxmlformats.org/officeDocument/2006/relationships/hyperlink" Target="https://www.periodistadigital.com/periodismo/tv/2018/12/05/ferreras-echenique-pistola-abascal-anguita-podemita-vox.shtml" TargetMode="External"/><Relationship Id="rId2032" Type="http://schemas.openxmlformats.org/officeDocument/2006/relationships/hyperlink" Target="http://www.bitmomentum.com/" TargetMode="External"/><Relationship Id="rId2337" Type="http://schemas.openxmlformats.org/officeDocument/2006/relationships/hyperlink" Target="https://twitter.com/MaraCAmor/status/1069873652601102336" TargetMode="External"/><Relationship Id="rId211" Type="http://schemas.openxmlformats.org/officeDocument/2006/relationships/hyperlink" Target="http://www.carnavalradio.es/" TargetMode="External"/><Relationship Id="rId309" Type="http://schemas.openxmlformats.org/officeDocument/2006/relationships/hyperlink" Target="http://pic.twitter.com/P4q16pT5Wv" TargetMode="External"/><Relationship Id="rId516" Type="http://schemas.openxmlformats.org/officeDocument/2006/relationships/hyperlink" Target="https://twitter.com/eljueves/status/1070963769872916480" TargetMode="External"/><Relationship Id="rId1146" Type="http://schemas.openxmlformats.org/officeDocument/2006/relationships/hyperlink" Target="http://youtu.be/vCzgGgIgofk?a" TargetMode="External"/><Relationship Id="rId1798" Type="http://schemas.openxmlformats.org/officeDocument/2006/relationships/hyperlink" Target="http://www.nikorosales.com/" TargetMode="External"/><Relationship Id="rId723" Type="http://schemas.openxmlformats.org/officeDocument/2006/relationships/hyperlink" Target="https://twitter.com/daniel_portero/status/1070731813159612417" TargetMode="External"/><Relationship Id="rId930" Type="http://schemas.openxmlformats.org/officeDocument/2006/relationships/hyperlink" Target="http://www.katymikhailova.com/about/" TargetMode="External"/><Relationship Id="rId1006" Type="http://schemas.openxmlformats.org/officeDocument/2006/relationships/hyperlink" Target="https://twitter.com/cazatalentos/status/1070450229516910592" TargetMode="External"/><Relationship Id="rId1353" Type="http://schemas.openxmlformats.org/officeDocument/2006/relationships/hyperlink" Target="http://www.albertodiaz.net/" TargetMode="External"/><Relationship Id="rId1560" Type="http://schemas.openxmlformats.org/officeDocument/2006/relationships/hyperlink" Target="https://www.facebook.com/gindaje/" TargetMode="External"/><Relationship Id="rId1658" Type="http://schemas.openxmlformats.org/officeDocument/2006/relationships/hyperlink" Target="https://godivaciones.es/" TargetMode="External"/><Relationship Id="rId1865" Type="http://schemas.openxmlformats.org/officeDocument/2006/relationships/hyperlink" Target="https://twitter.com/elprogramadear/status/1070232354617200640" TargetMode="External"/><Relationship Id="rId2404" Type="http://schemas.openxmlformats.org/officeDocument/2006/relationships/hyperlink" Target="https://twitter.com/alonso_dm/status/1069951671453839360" TargetMode="External"/><Relationship Id="rId1213" Type="http://schemas.openxmlformats.org/officeDocument/2006/relationships/hyperlink" Target="http://www.elcheclubdefutbolsad.com/" TargetMode="External"/><Relationship Id="rId1420" Type="http://schemas.openxmlformats.org/officeDocument/2006/relationships/hyperlink" Target="http://pic.twitter.com/iIRUJHWcB8" TargetMode="External"/><Relationship Id="rId1518" Type="http://schemas.openxmlformats.org/officeDocument/2006/relationships/hyperlink" Target="http://page.is/larevuelo53" TargetMode="External"/><Relationship Id="rId1725" Type="http://schemas.openxmlformats.org/officeDocument/2006/relationships/hyperlink" Target="https://www.instagram.com/jaimewarart/?hl=es" TargetMode="External"/><Relationship Id="rId1932" Type="http://schemas.openxmlformats.org/officeDocument/2006/relationships/hyperlink" Target="http://trendinalia.com/twitter-trending-topics/spain/" TargetMode="External"/><Relationship Id="rId17" Type="http://schemas.openxmlformats.org/officeDocument/2006/relationships/hyperlink" Target="https://www.linkedin.com/in/amin-lejarza-essalhi-601bb3a7/" TargetMode="External"/><Relationship Id="rId2194" Type="http://schemas.openxmlformats.org/officeDocument/2006/relationships/hyperlink" Target="http://www.elconfidencial.com/opinion/big-data/" TargetMode="External"/><Relationship Id="rId166" Type="http://schemas.openxmlformats.org/officeDocument/2006/relationships/hyperlink" Target="http://www.bitmomentum.com/" TargetMode="External"/><Relationship Id="rId373" Type="http://schemas.openxmlformats.org/officeDocument/2006/relationships/hyperlink" Target="http://lasilenciosacat.es/" TargetMode="External"/><Relationship Id="rId580" Type="http://schemas.openxmlformats.org/officeDocument/2006/relationships/hyperlink" Target="http://www.ambelspeusaterra.blogspot.com/" TargetMode="External"/><Relationship Id="rId2054" Type="http://schemas.openxmlformats.org/officeDocument/2006/relationships/hyperlink" Target="https://pbs.twimg.com/media/DtmueJmXgAEWsZO.jpg" TargetMode="External"/><Relationship Id="rId2261" Type="http://schemas.openxmlformats.org/officeDocument/2006/relationships/hyperlink" Target="http://saladinu.blogspot.com/" TargetMode="External"/><Relationship Id="rId1" Type="http://schemas.openxmlformats.org/officeDocument/2006/relationships/hyperlink" Target="https://www.sevillainfo.es/noticias-de-andalucia/el-periodista-luis-baras-escribe-una-carta-a-santiago-abascal-en-defensa-de-los-trabajadores-de-canal-sur/" TargetMode="External"/><Relationship Id="rId233" Type="http://schemas.openxmlformats.org/officeDocument/2006/relationships/hyperlink" Target="https://www.luisbaras.com/l/carta-al-sr-abascal-de-vox/" TargetMode="External"/><Relationship Id="rId440" Type="http://schemas.openxmlformats.org/officeDocument/2006/relationships/hyperlink" Target="https://www.eitb.tv/es/video/360/5937/150812/vox--la-ambicion-de-santiago-abascal/" TargetMode="External"/><Relationship Id="rId678" Type="http://schemas.openxmlformats.org/officeDocument/2006/relationships/hyperlink" Target="https://pbs.twimg.com/media/DtxKmZuW0AIN0Cl.jpg" TargetMode="External"/><Relationship Id="rId885" Type="http://schemas.openxmlformats.org/officeDocument/2006/relationships/hyperlink" Target="https://twitter.com/WillyTolerdoo/status/1070642485855166464" TargetMode="External"/><Relationship Id="rId1070" Type="http://schemas.openxmlformats.org/officeDocument/2006/relationships/hyperlink" Target="http://unpobrecitohablador.tumblr.com/" TargetMode="External"/><Relationship Id="rId2121" Type="http://schemas.openxmlformats.org/officeDocument/2006/relationships/hyperlink" Target="https://www.lapandereta.es/esperanza-aguirre-jose-maria-aznar-los-primeros-padrinos-de-santi-abascal-en-madrid/" TargetMode="External"/><Relationship Id="rId2359" Type="http://schemas.openxmlformats.org/officeDocument/2006/relationships/hyperlink" Target="https://pbs.twimg.com/media/DtlIY3aW0AA3yWf.jpg" TargetMode="External"/><Relationship Id="rId300" Type="http://schemas.openxmlformats.org/officeDocument/2006/relationships/hyperlink" Target="http://okdiario.com/" TargetMode="External"/><Relationship Id="rId538" Type="http://schemas.openxmlformats.org/officeDocument/2006/relationships/hyperlink" Target="http://www.elcheclubdefutbolsad.com/" TargetMode="External"/><Relationship Id="rId745" Type="http://schemas.openxmlformats.org/officeDocument/2006/relationships/hyperlink" Target="https://twitter.com/pnique/status/1070344137008918528" TargetMode="External"/><Relationship Id="rId952" Type="http://schemas.openxmlformats.org/officeDocument/2006/relationships/hyperlink" Target="https://twitter.com/Pepe_Fdez/status/1070475474961383424" TargetMode="External"/><Relationship Id="rId1168" Type="http://schemas.openxmlformats.org/officeDocument/2006/relationships/hyperlink" Target="https://twitter.com/ElHuffPost/status/1069712884978999297" TargetMode="External"/><Relationship Id="rId1375" Type="http://schemas.openxmlformats.org/officeDocument/2006/relationships/hyperlink" Target="https://pbs.twimg.com/media/Dtmmqz8XcAEBjcP.jpg" TargetMode="External"/><Relationship Id="rId1582" Type="http://schemas.openxmlformats.org/officeDocument/2006/relationships/hyperlink" Target="https://www.voxespana.es/afiliarse-a-vox" TargetMode="External"/><Relationship Id="rId2219" Type="http://schemas.openxmlformats.org/officeDocument/2006/relationships/hyperlink" Target="https://www.elindependiente.com/politica/2018/12/04/abascal-cerraria-ya-canal-sur-detendria-torra/?utm_source=share_buttons&amp;utm_medium=twitter&amp;utm_campaign=social_share2" TargetMode="External"/><Relationship Id="rId81" Type="http://schemas.openxmlformats.org/officeDocument/2006/relationships/hyperlink" Target="http://www.elindependiente.com/" TargetMode="External"/><Relationship Id="rId605" Type="http://schemas.openxmlformats.org/officeDocument/2006/relationships/hyperlink" Target="http://pic.twitter.com/LdMwIcYDXz" TargetMode="External"/><Relationship Id="rId812" Type="http://schemas.openxmlformats.org/officeDocument/2006/relationships/hyperlink" Target="https://pbs.twimg.com/media/DtvCqIGXQAECz6F.jpg" TargetMode="External"/><Relationship Id="rId1028" Type="http://schemas.openxmlformats.org/officeDocument/2006/relationships/hyperlink" Target="https://newtral.es/fact-check/santiago-abascal-las-mujeres-asesinadas-en-espana-han-sido-mayoritariamente-a-manos-de-extranjeros/" TargetMode="External"/><Relationship Id="rId1235" Type="http://schemas.openxmlformats.org/officeDocument/2006/relationships/hyperlink" Target="http://www.bitmomentum.com/" TargetMode="External"/><Relationship Id="rId1442" Type="http://schemas.openxmlformats.org/officeDocument/2006/relationships/hyperlink" Target="https://pbs.twimg.com/media/Dtqn8eNWkAMuJ3q.jpg" TargetMode="External"/><Relationship Id="rId1887" Type="http://schemas.openxmlformats.org/officeDocument/2006/relationships/hyperlink" Target="http://mdia.st/directo5" TargetMode="External"/><Relationship Id="rId1302" Type="http://schemas.openxmlformats.org/officeDocument/2006/relationships/hyperlink" Target="https://pbs.twimg.com/media/DtrTZDMWwAI4mUo.jpg" TargetMode="External"/><Relationship Id="rId1747" Type="http://schemas.openxmlformats.org/officeDocument/2006/relationships/hyperlink" Target="https://pbs.twimg.com/media/DtpTw4EW0AEfLE7.jpg" TargetMode="External"/><Relationship Id="rId1954" Type="http://schemas.openxmlformats.org/officeDocument/2006/relationships/hyperlink" Target="http://bychanchi.blogspot.com/" TargetMode="External"/><Relationship Id="rId39" Type="http://schemas.openxmlformats.org/officeDocument/2006/relationships/hyperlink" Target="https://pbs.twimg.com/media/Dt5s3bgXgAE0qSx.png" TargetMode="External"/><Relationship Id="rId1607" Type="http://schemas.openxmlformats.org/officeDocument/2006/relationships/hyperlink" Target="http://www.bitmomentum.com/" TargetMode="External"/><Relationship Id="rId1814" Type="http://schemas.openxmlformats.org/officeDocument/2006/relationships/hyperlink" Target="https://share.icloud.com/photos/0lv8tbXDbmLAzc1Ov5BZOqH2g" TargetMode="External"/><Relationship Id="rId188" Type="http://schemas.openxmlformats.org/officeDocument/2006/relationships/hyperlink" Target="http://www.bitmomentum.com/" TargetMode="External"/><Relationship Id="rId395" Type="http://schemas.openxmlformats.org/officeDocument/2006/relationships/hyperlink" Target="https://twitter.com/miotroyo2parte/status/1070995073050050560" TargetMode="External"/><Relationship Id="rId2076" Type="http://schemas.openxmlformats.org/officeDocument/2006/relationships/hyperlink" Target="http://voyager.jpl.nasa.gov/" TargetMode="External"/><Relationship Id="rId2283" Type="http://schemas.openxmlformats.org/officeDocument/2006/relationships/hyperlink" Target="https://pbs.twimg.com/media/Dtlh8mqWwAEheG5.jpg" TargetMode="External"/><Relationship Id="rId255" Type="http://schemas.openxmlformats.org/officeDocument/2006/relationships/hyperlink" Target="https://okdiario.com/autor/liberal" TargetMode="External"/><Relationship Id="rId462" Type="http://schemas.openxmlformats.org/officeDocument/2006/relationships/hyperlink" Target="https://pbs.twimg.com/media/Dt0cEslW0AADQ6N.jpg" TargetMode="External"/><Relationship Id="rId1092" Type="http://schemas.openxmlformats.org/officeDocument/2006/relationships/hyperlink" Target="https://pbs.twimg.com/media/DttvpDmXcAA9Cob.jpg" TargetMode="External"/><Relationship Id="rId1397" Type="http://schemas.openxmlformats.org/officeDocument/2006/relationships/hyperlink" Target="https://pbs.twimg.com/media/Dtq2uyUWoAA6PDg.jpg" TargetMode="External"/><Relationship Id="rId2143" Type="http://schemas.openxmlformats.org/officeDocument/2006/relationships/hyperlink" Target="https://twitter.com/josepramonbosch/status/1069958392578535424?s=21" TargetMode="External"/><Relationship Id="rId2350" Type="http://schemas.openxmlformats.org/officeDocument/2006/relationships/hyperlink" Target="https://pbs.twimg.com/media/DtlIY3QXcAAGYAC.jpg" TargetMode="External"/><Relationship Id="rId115" Type="http://schemas.openxmlformats.org/officeDocument/2006/relationships/hyperlink" Target="https://pbs.twimg.com/media/Dt4mQKtWwAAZAbd.jpg" TargetMode="External"/><Relationship Id="rId322" Type="http://schemas.openxmlformats.org/officeDocument/2006/relationships/hyperlink" Target="https://pbs.twimg.com/media/Dtw_d7JW4AAeyTa.jpg" TargetMode="External"/><Relationship Id="rId767" Type="http://schemas.openxmlformats.org/officeDocument/2006/relationships/hyperlink" Target="https://twitter.com/diario_realidad/status/1070334857669169153" TargetMode="External"/><Relationship Id="rId974" Type="http://schemas.openxmlformats.org/officeDocument/2006/relationships/hyperlink" Target="https://twitter.com/hermanntertsch/status/1070625337036455938" TargetMode="External"/><Relationship Id="rId2003" Type="http://schemas.openxmlformats.org/officeDocument/2006/relationships/hyperlink" Target="http://www.voxespana.es/" TargetMode="External"/><Relationship Id="rId2210" Type="http://schemas.openxmlformats.org/officeDocument/2006/relationships/hyperlink" Target="https://twitter.com/esjavieraleman/status/1069939432646733824" TargetMode="External"/><Relationship Id="rId627" Type="http://schemas.openxmlformats.org/officeDocument/2006/relationships/hyperlink" Target="http://rumbolibertad.org/" TargetMode="External"/><Relationship Id="rId834" Type="http://schemas.openxmlformats.org/officeDocument/2006/relationships/hyperlink" Target="https://niebladebrandoni.blogspot.com.es/?m=1" TargetMode="External"/><Relationship Id="rId1257" Type="http://schemas.openxmlformats.org/officeDocument/2006/relationships/hyperlink" Target="https://pbs.twimg.com/media/Dtrh3yvWwAAto2V.jpg" TargetMode="External"/><Relationship Id="rId1464" Type="http://schemas.openxmlformats.org/officeDocument/2006/relationships/hyperlink" Target="https://youtu.be/xh72exxWHqA" TargetMode="External"/><Relationship Id="rId1671" Type="http://schemas.openxmlformats.org/officeDocument/2006/relationships/hyperlink" Target="https://www.abc.es/espana/abci-santiago-abascal-sanchez-no-dura-minuto-moncloa-si-adelanta-elecciones-201812042205_noticia.html" TargetMode="External"/><Relationship Id="rId2308" Type="http://schemas.openxmlformats.org/officeDocument/2006/relationships/hyperlink" Target="https://youtu.be/S8_g6JS2z24" TargetMode="External"/><Relationship Id="rId901" Type="http://schemas.openxmlformats.org/officeDocument/2006/relationships/hyperlink" Target="https://pbs.twimg.com/media/DtvEsIDWoAEMrgV.jpg" TargetMode="External"/><Relationship Id="rId1117" Type="http://schemas.openxmlformats.org/officeDocument/2006/relationships/hyperlink" Target="http://www.ivoox.com/podcast-crazy-horse-radio_sq_f1478462_1.html" TargetMode="External"/><Relationship Id="rId1324" Type="http://schemas.openxmlformats.org/officeDocument/2006/relationships/hyperlink" Target="http://pic.twitter.com/khiTI60nPw" TargetMode="External"/><Relationship Id="rId1531" Type="http://schemas.openxmlformats.org/officeDocument/2006/relationships/hyperlink" Target="https://www.voxespana.es/afiliarse-a-vox" TargetMode="External"/><Relationship Id="rId1769" Type="http://schemas.openxmlformats.org/officeDocument/2006/relationships/hyperlink" Target="http://www.bitmomentum.com/" TargetMode="External"/><Relationship Id="rId1976" Type="http://schemas.openxmlformats.org/officeDocument/2006/relationships/hyperlink" Target="http://www.bitmomentum.com/" TargetMode="External"/><Relationship Id="rId30" Type="http://schemas.openxmlformats.org/officeDocument/2006/relationships/hyperlink" Target="http://www.bitmomentum.com/" TargetMode="External"/><Relationship Id="rId1629" Type="http://schemas.openxmlformats.org/officeDocument/2006/relationships/hyperlink" Target="https://m.youtube.com/watch?v=8vcB-oJ5_c0&amp;feature=youtu.be" TargetMode="External"/><Relationship Id="rId1836" Type="http://schemas.openxmlformats.org/officeDocument/2006/relationships/hyperlink" Target="http://www.bitmomentum.com/" TargetMode="External"/><Relationship Id="rId1903" Type="http://schemas.openxmlformats.org/officeDocument/2006/relationships/hyperlink" Target="http://pasionxespa&#241;a.es/" TargetMode="External"/><Relationship Id="rId2098" Type="http://schemas.openxmlformats.org/officeDocument/2006/relationships/hyperlink" Target="https://pbs.twimg.com/media/DtmiAiGW0AQyZDW.jpg" TargetMode="External"/><Relationship Id="rId277" Type="http://schemas.openxmlformats.org/officeDocument/2006/relationships/hyperlink" Target="https://pbs.twimg.com/media/Dt10mLnWoAAA9a6.jpg" TargetMode="External"/><Relationship Id="rId484" Type="http://schemas.openxmlformats.org/officeDocument/2006/relationships/hyperlink" Target="https://pbs.twimg.com/media/Dt0Qe5-X4AI-PLw.jpg" TargetMode="External"/><Relationship Id="rId2165" Type="http://schemas.openxmlformats.org/officeDocument/2006/relationships/hyperlink" Target="https://twitter.com/javiernegre10/status/1069908354686947328" TargetMode="External"/><Relationship Id="rId137" Type="http://schemas.openxmlformats.org/officeDocument/2006/relationships/hyperlink" Target="https://about.me/juanjosesanchezrabaneda" TargetMode="External"/><Relationship Id="rId344" Type="http://schemas.openxmlformats.org/officeDocument/2006/relationships/hyperlink" Target="https://www.youtube.com/watch?v=S8_g6JS2z24&amp;feature=youtu.be&amp;fbclid=IwAR3uFmgyHzOIXn7MTf6kyAE2wNZyhjRqYPLH3eF_CO_Kq6xX1EbLHSwVJy8" TargetMode="External"/><Relationship Id="rId691" Type="http://schemas.openxmlformats.org/officeDocument/2006/relationships/hyperlink" Target="https://www.instagram.com/p/BrEEGK1ArIU/?utm_source=ig_twitter_share&amp;igshid=1j4pca112hydl" TargetMode="External"/><Relationship Id="rId789" Type="http://schemas.openxmlformats.org/officeDocument/2006/relationships/hyperlink" Target="https://www.lasexta.com/noticias/nacional/la-pillada-a-santiago-abascal-que-muestra-que-ni-si-quiera-sabe-como-cerrar-canal-sur-aunque-le-apoyara-el-pp-video_201812065c09494e0cf2d96fe2fb0691.html" TargetMode="External"/><Relationship Id="rId996" Type="http://schemas.openxmlformats.org/officeDocument/2006/relationships/hyperlink" Target="http://www.gesolte.com/" TargetMode="External"/><Relationship Id="rId2025" Type="http://schemas.openxmlformats.org/officeDocument/2006/relationships/hyperlink" Target="http://youtu.be/oIMxo0mWe0Q" TargetMode="External"/><Relationship Id="rId2372" Type="http://schemas.openxmlformats.org/officeDocument/2006/relationships/hyperlink" Target="http://www.diariodealmeria.es/" TargetMode="External"/><Relationship Id="rId551" Type="http://schemas.openxmlformats.org/officeDocument/2006/relationships/hyperlink" Target="http://www.jorgegallardo.es/" TargetMode="External"/><Relationship Id="rId649" Type="http://schemas.openxmlformats.org/officeDocument/2006/relationships/hyperlink" Target="https://twitter.com/vanesavallejo3/status/1070822698958422016" TargetMode="External"/><Relationship Id="rId856" Type="http://schemas.openxmlformats.org/officeDocument/2006/relationships/hyperlink" Target="http://pic.twitter.com/MdfwvNSZyy" TargetMode="External"/><Relationship Id="rId1181" Type="http://schemas.openxmlformats.org/officeDocument/2006/relationships/hyperlink" Target="http://gaab75.blogspot.com/" TargetMode="External"/><Relationship Id="rId1279" Type="http://schemas.openxmlformats.org/officeDocument/2006/relationships/hyperlink" Target="http://pic.twitter.com/qmyLLOTUo1" TargetMode="External"/><Relationship Id="rId1486" Type="http://schemas.openxmlformats.org/officeDocument/2006/relationships/hyperlink" Target="http://pic.twitter.com/7WxJXYP5jO" TargetMode="External"/><Relationship Id="rId2232" Type="http://schemas.openxmlformats.org/officeDocument/2006/relationships/hyperlink" Target="https://www.youtube.com/watch?time_continue=1&amp;v=2PoI1Qtn0XA" TargetMode="External"/><Relationship Id="rId204" Type="http://schemas.openxmlformats.org/officeDocument/2006/relationships/hyperlink" Target="https://nyti.ms/2G7GZKx" TargetMode="External"/><Relationship Id="rId411" Type="http://schemas.openxmlformats.org/officeDocument/2006/relationships/hyperlink" Target="https://twitter.com/hermanntertsch/status/1071042034797035520" TargetMode="External"/><Relationship Id="rId509" Type="http://schemas.openxmlformats.org/officeDocument/2006/relationships/hyperlink" Target="https://pbs.twimg.com/media/Dtzv4CuXcAA5HMu.jpg" TargetMode="External"/><Relationship Id="rId1041" Type="http://schemas.openxmlformats.org/officeDocument/2006/relationships/hyperlink" Target="https://m.facebook.com/?_rdr" TargetMode="External"/><Relationship Id="rId1139" Type="http://schemas.openxmlformats.org/officeDocument/2006/relationships/hyperlink" Target="https://youtu.be/Y5MA7DIy5lc" TargetMode="External"/><Relationship Id="rId1346" Type="http://schemas.openxmlformats.org/officeDocument/2006/relationships/hyperlink" Target="https://pbs.twimg.com/media/DtrGUwtWsAEwEDb.jpg" TargetMode="External"/><Relationship Id="rId1693" Type="http://schemas.openxmlformats.org/officeDocument/2006/relationships/hyperlink" Target="https://maldita.es/malditodato/cuando-abascal-cobraba-mas-que-el-presidente-del-gobierno-por-cargos-a-dedo-pagados-con-dinero-publico/" TargetMode="External"/><Relationship Id="rId1998" Type="http://schemas.openxmlformats.org/officeDocument/2006/relationships/hyperlink" Target="https://twitter.com/vox_es/status/1070099552861085696" TargetMode="External"/><Relationship Id="rId716" Type="http://schemas.openxmlformats.org/officeDocument/2006/relationships/hyperlink" Target="https://twitter.com/poloniatv3/status/1070794599474585600" TargetMode="External"/><Relationship Id="rId923" Type="http://schemas.openxmlformats.org/officeDocument/2006/relationships/hyperlink" Target="https://www.google.es/amp/s/www.elindependiente.com/politica/2017/10/20/impuesto-revolucionario-empresarios-eta/amp/" TargetMode="External"/><Relationship Id="rId1553" Type="http://schemas.openxmlformats.org/officeDocument/2006/relationships/hyperlink" Target="http://pic.twitter.com/Jl2C2LfNjf" TargetMode="External"/><Relationship Id="rId1760" Type="http://schemas.openxmlformats.org/officeDocument/2006/relationships/hyperlink" Target="http://bitly.is/2E3iAmE" TargetMode="External"/><Relationship Id="rId1858" Type="http://schemas.openxmlformats.org/officeDocument/2006/relationships/hyperlink" Target="https://pbs.twimg.com/media/Dto_r20XQAAG_3F.jpg" TargetMode="External"/><Relationship Id="rId52" Type="http://schemas.openxmlformats.org/officeDocument/2006/relationships/hyperlink" Target="http://www.bitmomentum.com/" TargetMode="External"/><Relationship Id="rId1206" Type="http://schemas.openxmlformats.org/officeDocument/2006/relationships/hyperlink" Target="https://twitter.com/adanesmit/status/1070407372307423232" TargetMode="External"/><Relationship Id="rId1413" Type="http://schemas.openxmlformats.org/officeDocument/2006/relationships/hyperlink" Target="http://joserivela.blogspot.com/" TargetMode="External"/><Relationship Id="rId1620" Type="http://schemas.openxmlformats.org/officeDocument/2006/relationships/hyperlink" Target="https://twitter.com/G_PT95/status/1070279758032834561" TargetMode="External"/><Relationship Id="rId1718" Type="http://schemas.openxmlformats.org/officeDocument/2006/relationships/hyperlink" Target="https://youtu.be/S8_g6JS2z24" TargetMode="External"/><Relationship Id="rId1925" Type="http://schemas.openxmlformats.org/officeDocument/2006/relationships/hyperlink" Target="https://www.facebook.com/pages/Espa%C3%B1oles-y-Venezolanos-Anti-Podemos/885396501484393?sk=timeline" TargetMode="External"/><Relationship Id="rId299" Type="http://schemas.openxmlformats.org/officeDocument/2006/relationships/hyperlink" Target="http://pic.twitter.com/vWlRvWV6Mw" TargetMode="External"/><Relationship Id="rId2187" Type="http://schemas.openxmlformats.org/officeDocument/2006/relationships/hyperlink" Target="https://youtu.be/S8_g6JS2z24" TargetMode="External"/><Relationship Id="rId2394" Type="http://schemas.openxmlformats.org/officeDocument/2006/relationships/hyperlink" Target="https://m.facebook.com/ebneuo" TargetMode="External"/><Relationship Id="rId159" Type="http://schemas.openxmlformats.org/officeDocument/2006/relationships/hyperlink" Target="https://www.elindependiente.com/politica/2018/12/08/euskadi-la-tierra-que-esculpio-al-lider-de-vox-santiago-abascal/?utm_source=share_buttons&amp;utm_medium=twitter&amp;utm_campaign=social_share2" TargetMode="External"/><Relationship Id="rId366" Type="http://schemas.openxmlformats.org/officeDocument/2006/relationships/hyperlink" Target="https://www.youtube.com/channel/UCQ5QSoJnTf-w7DdIRMCsDyA" TargetMode="External"/><Relationship Id="rId573" Type="http://schemas.openxmlformats.org/officeDocument/2006/relationships/hyperlink" Target="http://disq.us/t/398qdxc" TargetMode="External"/><Relationship Id="rId780" Type="http://schemas.openxmlformats.org/officeDocument/2006/relationships/hyperlink" Target="https://twitter.com/Paco_Glez_/status/1070695921762164736" TargetMode="External"/><Relationship Id="rId2047" Type="http://schemas.openxmlformats.org/officeDocument/2006/relationships/hyperlink" Target="https://pbs.twimg.com/media/Dtmx0_NXgAARVxh.jpg" TargetMode="External"/><Relationship Id="rId2254" Type="http://schemas.openxmlformats.org/officeDocument/2006/relationships/hyperlink" Target="https://pbs.twimg.com/media/DtluMDEWwAAdWKI.jpg" TargetMode="External"/><Relationship Id="rId226" Type="http://schemas.openxmlformats.org/officeDocument/2006/relationships/hyperlink" Target="https://www.periodistadigital.com/periodismo/tv/2018/12/07/nueva-burla-vox-escocidito-evole-cuesta-memorable-bano-twitter-sanguijuela-santi-abascal.shtml" TargetMode="External"/><Relationship Id="rId433" Type="http://schemas.openxmlformats.org/officeDocument/2006/relationships/hyperlink" Target="https://www.libertaddigital.com/opinion/santiago-abascal/pablo-el-infierno-mismo-78791/" TargetMode="External"/><Relationship Id="rId878" Type="http://schemas.openxmlformats.org/officeDocument/2006/relationships/hyperlink" Target="http://pic.twitter.com/x2YQ2k8WrQ" TargetMode="External"/><Relationship Id="rId1063" Type="http://schemas.openxmlformats.org/officeDocument/2006/relationships/hyperlink" Target="http://www.bitmomentum.com/" TargetMode="External"/><Relationship Id="rId1270" Type="http://schemas.openxmlformats.org/officeDocument/2006/relationships/hyperlink" Target="http://pic.twitter.com/sQQQMtGvUc" TargetMode="External"/><Relationship Id="rId2114" Type="http://schemas.openxmlformats.org/officeDocument/2006/relationships/hyperlink" Target="http://www.xvideos.com/" TargetMode="External"/><Relationship Id="rId640" Type="http://schemas.openxmlformats.org/officeDocument/2006/relationships/hyperlink" Target="https://twitter.com/Bcnisnotcat_/status/1070801745968852992" TargetMode="External"/><Relationship Id="rId738" Type="http://schemas.openxmlformats.org/officeDocument/2006/relationships/hyperlink" Target="http://pic.twitter.com/tQLycp9G0T" TargetMode="External"/><Relationship Id="rId945" Type="http://schemas.openxmlformats.org/officeDocument/2006/relationships/hyperlink" Target="https://pbs.twimg.com/media/DtuvtwMW0AAvlQK.jpg" TargetMode="External"/><Relationship Id="rId1368" Type="http://schemas.openxmlformats.org/officeDocument/2006/relationships/hyperlink" Target="https://youtu.be/hAWZRD9sfnk" TargetMode="External"/><Relationship Id="rId1575" Type="http://schemas.openxmlformats.org/officeDocument/2006/relationships/hyperlink" Target="http://www.aloeforever.info/" TargetMode="External"/><Relationship Id="rId1782" Type="http://schemas.openxmlformats.org/officeDocument/2006/relationships/hyperlink" Target="http://www.telecinco.es/elprogramadeanarosa" TargetMode="External"/><Relationship Id="rId2321" Type="http://schemas.openxmlformats.org/officeDocument/2006/relationships/hyperlink" Target="https://www.youtube.com/watch?v=2PoI1Qtn0XA&amp;feature=youtu.be" TargetMode="External"/><Relationship Id="rId74" Type="http://schemas.openxmlformats.org/officeDocument/2006/relationships/hyperlink" Target="https://www.libremercado.com/2018-12-08/el-chiringuito-del-psoe-en-andalucia-24000-enchufados-y-un-coste-de-6000-millones-al-ano-1276629532/" TargetMode="External"/><Relationship Id="rId500" Type="http://schemas.openxmlformats.org/officeDocument/2006/relationships/hyperlink" Target="https://www.larazon.es/local/cataluna/torra-ordena-purgar-a-los-mossos-que-cargaron-en-gerona-y-tarrasa-KM20867148" TargetMode="External"/><Relationship Id="rId805" Type="http://schemas.openxmlformats.org/officeDocument/2006/relationships/hyperlink" Target="http://pic.twitter.com/EX9HLd8oZA" TargetMode="External"/><Relationship Id="rId1130" Type="http://schemas.openxmlformats.org/officeDocument/2006/relationships/hyperlink" Target="https://www.facebook.com/josealberto.rodriguezarroyo.9" TargetMode="External"/><Relationship Id="rId1228" Type="http://schemas.openxmlformats.org/officeDocument/2006/relationships/hyperlink" Target="https://pbs.twimg.com/media/DtrrYcKWwAAxlC6.jpg" TargetMode="External"/><Relationship Id="rId1435" Type="http://schemas.openxmlformats.org/officeDocument/2006/relationships/hyperlink" Target="http://instagram.com/automatonNick" TargetMode="External"/><Relationship Id="rId1642" Type="http://schemas.openxmlformats.org/officeDocument/2006/relationships/hyperlink" Target="https://pbs.twimg.com/media/DtpvHQAWwAAVR6z.jpg" TargetMode="External"/><Relationship Id="rId1947" Type="http://schemas.openxmlformats.org/officeDocument/2006/relationships/hyperlink" Target="https://www.facebook.com/pages/Espa%C3%B1oles-y-Venezolanos-Anti-Podemos/885396501484393?sk=timeline" TargetMode="External"/><Relationship Id="rId1502" Type="http://schemas.openxmlformats.org/officeDocument/2006/relationships/hyperlink" Target="https://pbs.twimg.com/media/DtqaH4zU0AESeKg.jpg" TargetMode="External"/><Relationship Id="rId1807" Type="http://schemas.openxmlformats.org/officeDocument/2006/relationships/hyperlink" Target="http://tradingparaganar.es/" TargetMode="External"/><Relationship Id="rId290" Type="http://schemas.openxmlformats.org/officeDocument/2006/relationships/hyperlink" Target="https://twitter.com/FSerranoCastro/status/1071036193553440770" TargetMode="External"/><Relationship Id="rId388" Type="http://schemas.openxmlformats.org/officeDocument/2006/relationships/hyperlink" Target="https://pbs.twimg.com/media/Dt08io7UUAAzHw7.jpg" TargetMode="External"/><Relationship Id="rId2069" Type="http://schemas.openxmlformats.org/officeDocument/2006/relationships/hyperlink" Target="https://www.eitb.tv/es/video/360/5937/150812/vox--la-ambicion-de-santiago-abascal/" TargetMode="External"/><Relationship Id="rId150" Type="http://schemas.openxmlformats.org/officeDocument/2006/relationships/hyperlink" Target="http://pic.twitter.com/Uwe0v7FF4A" TargetMode="External"/><Relationship Id="rId595" Type="http://schemas.openxmlformats.org/officeDocument/2006/relationships/hyperlink" Target="http://pic.twitter.com/20yF6WPkHy" TargetMode="External"/><Relationship Id="rId2276" Type="http://schemas.openxmlformats.org/officeDocument/2006/relationships/hyperlink" Target="https://pbs.twimg.com/media/DtllaeJWkAANRN3.jpg" TargetMode="External"/><Relationship Id="rId248" Type="http://schemas.openxmlformats.org/officeDocument/2006/relationships/hyperlink" Target="http://nordistria.tumblr.com/" TargetMode="External"/><Relationship Id="rId455" Type="http://schemas.openxmlformats.org/officeDocument/2006/relationships/hyperlink" Target="https://www.instagram.com/p/BrFs3FfAN_1/?utm_source=ig_twitter_share&amp;igshid=7ofeltsgurhr" TargetMode="External"/><Relationship Id="rId662" Type="http://schemas.openxmlformats.org/officeDocument/2006/relationships/hyperlink" Target="https://pbs.twimg.com/media/DtxaQ2tWwAAtvV_.jpg" TargetMode="External"/><Relationship Id="rId1085" Type="http://schemas.openxmlformats.org/officeDocument/2006/relationships/hyperlink" Target="https://twitter.com/trendinaliaES/timelines/1070560578584797184" TargetMode="External"/><Relationship Id="rId1292" Type="http://schemas.openxmlformats.org/officeDocument/2006/relationships/hyperlink" Target="http://www.18tattoos.wordpress.com/" TargetMode="External"/><Relationship Id="rId2136" Type="http://schemas.openxmlformats.org/officeDocument/2006/relationships/hyperlink" Target="http://blogciudadanog.blogspot.com.es/" TargetMode="External"/><Relationship Id="rId2343" Type="http://schemas.openxmlformats.org/officeDocument/2006/relationships/hyperlink" Target="https://pbs.twimg.com/media/DtkUhvOX4AA7vFj.jpg" TargetMode="External"/><Relationship Id="rId108" Type="http://schemas.openxmlformats.org/officeDocument/2006/relationships/hyperlink" Target="https://twitter.com/jordievole/status/1071163348039942145" TargetMode="External"/><Relationship Id="rId315" Type="http://schemas.openxmlformats.org/officeDocument/2006/relationships/hyperlink" Target="https://www.facebook.com/carmelodifazioescritor/" TargetMode="External"/><Relationship Id="rId522" Type="http://schemas.openxmlformats.org/officeDocument/2006/relationships/hyperlink" Target="https://pbs.twimg.com/media/Dtz4pf0WwAAQNZa.jpg" TargetMode="External"/><Relationship Id="rId967" Type="http://schemas.openxmlformats.org/officeDocument/2006/relationships/hyperlink" Target="https://www.youtube.com/watch?v=KKcf5UC8U1E" TargetMode="External"/><Relationship Id="rId1152" Type="http://schemas.openxmlformats.org/officeDocument/2006/relationships/hyperlink" Target="https://pbs.twimg.com/media/DtsJ76RW4AA037f.jpg" TargetMode="External"/><Relationship Id="rId1597" Type="http://schemas.openxmlformats.org/officeDocument/2006/relationships/hyperlink" Target="https://okdiario.com/espana/2018/12/05/vox-exigira-auditoria-todos-cargos-enchufados-regimen-socialista-andaluz-40-anos-3429573?utm_campaign=ok&amp;utm_medium=Social&amp;utm_source=Twitter" TargetMode="External"/><Relationship Id="rId2203" Type="http://schemas.openxmlformats.org/officeDocument/2006/relationships/hyperlink" Target="https://pbs.twimg.com/media/DtmCNARVYAAZ17m.jpg" TargetMode="External"/><Relationship Id="rId96" Type="http://schemas.openxmlformats.org/officeDocument/2006/relationships/hyperlink" Target="https://twitter.com/jaimeberenguer/status/1071352728276885504" TargetMode="External"/><Relationship Id="rId827" Type="http://schemas.openxmlformats.org/officeDocument/2006/relationships/hyperlink" Target="https://pbs.twimg.com/media/DtvwMoOX4AI0nKo.jpg" TargetMode="External"/><Relationship Id="rId1012" Type="http://schemas.openxmlformats.org/officeDocument/2006/relationships/hyperlink" Target="http://pic.twitter.com/EhmKbN5gyJ" TargetMode="External"/><Relationship Id="rId1457" Type="http://schemas.openxmlformats.org/officeDocument/2006/relationships/hyperlink" Target="https://pbs.twimg.com/media/DtprvnqWoAAa7ZL.jpg" TargetMode="External"/><Relationship Id="rId1664" Type="http://schemas.openxmlformats.org/officeDocument/2006/relationships/hyperlink" Target="https://pbs.twimg.com/media/DtpnmWwWwAAbDlI.jpg" TargetMode="External"/><Relationship Id="rId1871" Type="http://schemas.openxmlformats.org/officeDocument/2006/relationships/hyperlink" Target="https://chefyc.wordpress.com/2015/11/19/porcentajes-de-homicidas-por-ano-2013-2017-segun-sexo-y-ambito-de-la-agresion-intrafamiliar/" TargetMode="External"/><Relationship Id="rId1317" Type="http://schemas.openxmlformats.org/officeDocument/2006/relationships/hyperlink" Target="https://www.mediterraneodigital.com/espana/economia/los-diputados-aprueban-subirse-el-sueldo-un-2-5.html" TargetMode="External"/><Relationship Id="rId1524" Type="http://schemas.openxmlformats.org/officeDocument/2006/relationships/hyperlink" Target="https://youtu.be/8vcB-oJ5_c0" TargetMode="External"/><Relationship Id="rId1731" Type="http://schemas.openxmlformats.org/officeDocument/2006/relationships/hyperlink" Target="http://bit.ly/2APzhi8" TargetMode="External"/><Relationship Id="rId1969" Type="http://schemas.openxmlformats.org/officeDocument/2006/relationships/hyperlink" Target="http://www.bitmomentum.com/" TargetMode="External"/><Relationship Id="rId23" Type="http://schemas.openxmlformats.org/officeDocument/2006/relationships/hyperlink" Target="https://pbs.twimg.com/media/Dtw_d7JW4AAeyTa.jpg" TargetMode="External"/><Relationship Id="rId1829" Type="http://schemas.openxmlformats.org/officeDocument/2006/relationships/hyperlink" Target="https://pbs.twimg.com/media/DtpEoLHXQAEZLYf.jpg" TargetMode="External"/><Relationship Id="rId2298" Type="http://schemas.openxmlformats.org/officeDocument/2006/relationships/hyperlink" Target="http://pic.twitter.com/j1UqiWR0Lk" TargetMode="External"/><Relationship Id="rId172" Type="http://schemas.openxmlformats.org/officeDocument/2006/relationships/hyperlink" Target="https://pbs.twimg.com/media/Dt33liFX4AAtX-e.jpg" TargetMode="External"/><Relationship Id="rId477" Type="http://schemas.openxmlformats.org/officeDocument/2006/relationships/hyperlink" Target="http://pic.twitter.com/HVD6msgDY1" TargetMode="External"/><Relationship Id="rId684" Type="http://schemas.openxmlformats.org/officeDocument/2006/relationships/hyperlink" Target="http://pic.twitter.com/MdfwvNSZyy" TargetMode="External"/><Relationship Id="rId2060" Type="http://schemas.openxmlformats.org/officeDocument/2006/relationships/hyperlink" Target="https://youtu.be/S8_g6JS2z24" TargetMode="External"/><Relationship Id="rId2158" Type="http://schemas.openxmlformats.org/officeDocument/2006/relationships/hyperlink" Target="https://pbs.twimg.com/media/DtmRP07W4AIpIRQ.jpg" TargetMode="External"/><Relationship Id="rId2365" Type="http://schemas.openxmlformats.org/officeDocument/2006/relationships/hyperlink" Target="https://pbs.twimg.com/media/DtlIY3LWoAAcuBA.jpg" TargetMode="External"/><Relationship Id="rId337" Type="http://schemas.openxmlformats.org/officeDocument/2006/relationships/hyperlink" Target="https://pbs.twimg.com/media/Dtzv4CuXcAA5HMu.jpg" TargetMode="External"/><Relationship Id="rId891" Type="http://schemas.openxmlformats.org/officeDocument/2006/relationships/hyperlink" Target="http://pic.twitter.com/hlK1wFUrt4" TargetMode="External"/><Relationship Id="rId989" Type="http://schemas.openxmlformats.org/officeDocument/2006/relationships/hyperlink" Target="http://alrebullon.blogspot.com/" TargetMode="External"/><Relationship Id="rId2018" Type="http://schemas.openxmlformats.org/officeDocument/2006/relationships/hyperlink" Target="https://twitter.com/ivanedlm/status/106995377381936332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U2499"/>
  <sheetViews>
    <sheetView tabSelected="1" workbookViewId="0">
      <pane ySplit="2" topLeftCell="A2474" activePane="bottomLeft" state="frozen"/>
      <selection pane="bottomLeft" activeCell="D3" sqref="D3:D2476"/>
    </sheetView>
  </sheetViews>
  <sheetFormatPr defaultColWidth="14.44140625" defaultRowHeight="15.75" customHeight="1"/>
  <cols>
    <col min="1" max="1" width="15.33203125" customWidth="1"/>
    <col min="3" max="3" width="16.33203125" customWidth="1"/>
    <col min="4" max="4" width="41.5546875" customWidth="1"/>
    <col min="5" max="5" width="17.6640625" customWidth="1"/>
    <col min="6" max="11" width="16.109375" customWidth="1"/>
    <col min="12" max="16" width="11.109375" customWidth="1"/>
    <col min="18" max="18" width="34.33203125" customWidth="1"/>
    <col min="19" max="19" width="19.6640625" customWidth="1"/>
    <col min="20" max="21" width="12" customWidth="1"/>
  </cols>
  <sheetData>
    <row r="1" spans="1:21" ht="25.5" customHeight="1">
      <c r="A1" s="30" t="s">
        <v>1</v>
      </c>
      <c r="B1" s="31"/>
      <c r="C1" s="31"/>
      <c r="D1" s="31"/>
      <c r="E1" s="31"/>
      <c r="F1" s="31"/>
      <c r="G1" s="31"/>
      <c r="H1" s="31"/>
      <c r="I1" s="31"/>
      <c r="J1" s="31"/>
      <c r="K1" s="31"/>
      <c r="L1" s="32" t="s">
        <v>2</v>
      </c>
      <c r="M1" s="31"/>
      <c r="N1" s="31"/>
      <c r="O1" s="31"/>
      <c r="P1" s="31"/>
      <c r="Q1" s="31"/>
      <c r="R1" s="31"/>
      <c r="S1" s="31"/>
      <c r="T1" s="31"/>
      <c r="U1" s="31"/>
    </row>
    <row r="2" spans="1:21" ht="29.25" customHeight="1">
      <c r="A2" s="1" t="s">
        <v>0</v>
      </c>
      <c r="B2" s="2" t="s">
        <v>3</v>
      </c>
      <c r="C2" s="2" t="s">
        <v>4</v>
      </c>
      <c r="D2" s="3" t="s">
        <v>5</v>
      </c>
      <c r="E2" s="4" t="s">
        <v>6</v>
      </c>
      <c r="F2" s="4" t="s">
        <v>7</v>
      </c>
      <c r="G2" s="4" t="s">
        <v>8</v>
      </c>
      <c r="H2" s="4" t="s">
        <v>9</v>
      </c>
      <c r="I2" s="2" t="s">
        <v>10</v>
      </c>
      <c r="J2" s="2" t="s">
        <v>11</v>
      </c>
      <c r="K2" s="4" t="s">
        <v>12</v>
      </c>
      <c r="L2" s="2" t="s">
        <v>13</v>
      </c>
      <c r="M2" s="2" t="s">
        <v>14</v>
      </c>
      <c r="N2" s="4" t="s">
        <v>15</v>
      </c>
      <c r="O2" s="4" t="s">
        <v>16</v>
      </c>
      <c r="P2" s="4" t="s">
        <v>17</v>
      </c>
      <c r="Q2" s="4" t="s">
        <v>9</v>
      </c>
      <c r="R2" s="5" t="s">
        <v>18</v>
      </c>
      <c r="S2" s="4" t="s">
        <v>19</v>
      </c>
      <c r="T2" s="4" t="s">
        <v>20</v>
      </c>
      <c r="U2" s="4" t="s">
        <v>21</v>
      </c>
    </row>
    <row r="3" spans="1:21" ht="40.799999999999997">
      <c r="A3" s="6">
        <v>43442.740949074076</v>
      </c>
      <c r="B3" s="7" t="str">
        <f>HYPERLINK("https://twitter.com/Ivan92241169","@Ivan92241169")</f>
        <v>@Ivan92241169</v>
      </c>
      <c r="C3" s="8" t="s">
        <v>22</v>
      </c>
      <c r="D3" s="9" t="s">
        <v>23</v>
      </c>
      <c r="E3" s="10" t="str">
        <f>HYPERLINK("https://twitter.com/Ivan92241169/status/1071446045291364356","1071446045291364356")</f>
        <v>1071446045291364356</v>
      </c>
      <c r="F3" s="11"/>
      <c r="G3" s="11"/>
      <c r="H3" s="11"/>
      <c r="I3" s="12">
        <v>0</v>
      </c>
      <c r="J3" s="12">
        <v>0</v>
      </c>
      <c r="K3" s="13" t="str">
        <f>HYPERLINK("http://twitter.com/download/android","Twitter for Android")</f>
        <v>Twitter for Android</v>
      </c>
      <c r="L3" s="12">
        <v>96</v>
      </c>
      <c r="M3" s="12">
        <v>137</v>
      </c>
      <c r="N3" s="12">
        <v>0</v>
      </c>
      <c r="O3" s="14"/>
      <c r="P3" s="6">
        <v>43384.573900462958</v>
      </c>
      <c r="Q3" s="15" t="s">
        <v>25</v>
      </c>
      <c r="R3" s="17" t="s">
        <v>26</v>
      </c>
      <c r="S3" s="11"/>
      <c r="T3" s="11"/>
      <c r="U3" s="10" t="str">
        <f>HYPERLINK("https://pbs.twimg.com/profile_images/1050476391626625029/kyaKp9F9.jpg","View")</f>
        <v>View</v>
      </c>
    </row>
    <row r="4" spans="1:21" ht="30.6">
      <c r="A4" s="6">
        <v>43442.739050925928</v>
      </c>
      <c r="B4" s="7" t="str">
        <f>HYPERLINK("https://twitter.com/CrAstur","@CrAstur")</f>
        <v>@CrAstur</v>
      </c>
      <c r="C4" s="8" t="s">
        <v>30</v>
      </c>
      <c r="D4" s="9" t="s">
        <v>31</v>
      </c>
      <c r="E4" s="10" t="str">
        <f>HYPERLINK("https://twitter.com/CrAstur/status/1071445358998360065","1071445358998360065")</f>
        <v>1071445358998360065</v>
      </c>
      <c r="F4" s="11"/>
      <c r="G4" s="11"/>
      <c r="H4" s="11"/>
      <c r="I4" s="12">
        <v>0</v>
      </c>
      <c r="J4" s="12">
        <v>0</v>
      </c>
      <c r="K4" s="13" t="str">
        <f t="shared" ref="K4:K5" si="0">HYPERLINK("http://twitter.com/download/iphone","Twitter for iPhone")</f>
        <v>Twitter for iPhone</v>
      </c>
      <c r="L4" s="12">
        <v>439</v>
      </c>
      <c r="M4" s="12">
        <v>346</v>
      </c>
      <c r="N4" s="12">
        <v>7</v>
      </c>
      <c r="O4" s="14"/>
      <c r="P4" s="6">
        <v>40804.525694444441</v>
      </c>
      <c r="Q4" s="15" t="s">
        <v>32</v>
      </c>
      <c r="R4" s="17" t="s">
        <v>33</v>
      </c>
      <c r="S4" s="11"/>
      <c r="T4" s="11"/>
      <c r="U4" s="10" t="str">
        <f>HYPERLINK("https://pbs.twimg.com/profile_images/900803046866923520/3dHpxdGG.jpg","View")</f>
        <v>View</v>
      </c>
    </row>
    <row r="5" spans="1:21" ht="30.6">
      <c r="A5" s="6">
        <v>43442.732048611113</v>
      </c>
      <c r="B5" s="7" t="str">
        <f>HYPERLINK("https://twitter.com/Sevillainf","@Sevillainf")</f>
        <v>@Sevillainf</v>
      </c>
      <c r="C5" s="8" t="s">
        <v>34</v>
      </c>
      <c r="D5" s="9" t="s">
        <v>35</v>
      </c>
      <c r="E5" s="10" t="str">
        <f>HYPERLINK("https://twitter.com/Sevillainf/status/1071442819934502914","1071442819934502914")</f>
        <v>1071442819934502914</v>
      </c>
      <c r="F5" s="16" t="s">
        <v>36</v>
      </c>
      <c r="G5" s="11"/>
      <c r="H5" s="11"/>
      <c r="I5" s="12">
        <v>0</v>
      </c>
      <c r="J5" s="12">
        <v>0</v>
      </c>
      <c r="K5" s="13" t="str">
        <f t="shared" si="0"/>
        <v>Twitter for iPhone</v>
      </c>
      <c r="L5" s="12">
        <v>4191</v>
      </c>
      <c r="M5" s="12">
        <v>148</v>
      </c>
      <c r="N5" s="12">
        <v>42</v>
      </c>
      <c r="O5" s="14"/>
      <c r="P5" s="6">
        <v>42968.459594907406</v>
      </c>
      <c r="Q5" s="15" t="s">
        <v>37</v>
      </c>
      <c r="R5" s="17" t="s">
        <v>38</v>
      </c>
      <c r="S5" s="16" t="s">
        <v>39</v>
      </c>
      <c r="T5" s="11"/>
      <c r="U5" s="10" t="str">
        <f>HYPERLINK("https://pbs.twimg.com/profile_images/920449316556328960/Y-37lBXf.jpg","View")</f>
        <v>View</v>
      </c>
    </row>
    <row r="6" spans="1:21" ht="40.799999999999997">
      <c r="A6" s="6">
        <v>43442.730543981481</v>
      </c>
      <c r="B6" s="7" t="str">
        <f>HYPERLINK("https://twitter.com/angeltxele","@angeltxele")</f>
        <v>@angeltxele</v>
      </c>
      <c r="C6" s="8" t="s">
        <v>41</v>
      </c>
      <c r="D6" s="9" t="s">
        <v>42</v>
      </c>
      <c r="E6" s="10" t="str">
        <f>HYPERLINK("https://twitter.com/angeltxele/status/1071442275174100992","1071442275174100992")</f>
        <v>1071442275174100992</v>
      </c>
      <c r="F6" s="11"/>
      <c r="G6" s="11"/>
      <c r="H6" s="11"/>
      <c r="I6" s="12">
        <v>0</v>
      </c>
      <c r="J6" s="12">
        <v>0</v>
      </c>
      <c r="K6" s="13" t="str">
        <f t="shared" ref="K6:K7" si="1">HYPERLINK("http://twitter.com/download/android","Twitter for Android")</f>
        <v>Twitter for Android</v>
      </c>
      <c r="L6" s="12">
        <v>1742</v>
      </c>
      <c r="M6" s="12">
        <v>744</v>
      </c>
      <c r="N6" s="12">
        <v>22</v>
      </c>
      <c r="O6" s="14"/>
      <c r="P6" s="6">
        <v>41683.928414351853</v>
      </c>
      <c r="Q6" s="11"/>
      <c r="R6" s="17" t="s">
        <v>47</v>
      </c>
      <c r="S6" s="11"/>
      <c r="T6" s="11"/>
      <c r="U6" s="10" t="str">
        <f>HYPERLINK("https://pbs.twimg.com/profile_images/1030219252970803200/VKfYnL-p.jpg","View")</f>
        <v>View</v>
      </c>
    </row>
    <row r="7" spans="1:21" ht="30.6">
      <c r="A7" s="6">
        <v>43442.727384259255</v>
      </c>
      <c r="B7" s="7" t="str">
        <f>HYPERLINK("https://twitter.com/Sevilla_Inf","@Sevilla_Inf")</f>
        <v>@Sevilla_Inf</v>
      </c>
      <c r="C7" s="8" t="s">
        <v>50</v>
      </c>
      <c r="D7" s="9" t="s">
        <v>52</v>
      </c>
      <c r="E7" s="10" t="str">
        <f>HYPERLINK("https://twitter.com/Sevilla_Inf/status/1071441132096249856","1071441132096249856")</f>
        <v>1071441132096249856</v>
      </c>
      <c r="F7" s="16" t="s">
        <v>36</v>
      </c>
      <c r="G7" s="11"/>
      <c r="H7" s="11"/>
      <c r="I7" s="12">
        <v>0</v>
      </c>
      <c r="J7" s="12">
        <v>1</v>
      </c>
      <c r="K7" s="13" t="str">
        <f t="shared" si="1"/>
        <v>Twitter for Android</v>
      </c>
      <c r="L7" s="12">
        <v>4123</v>
      </c>
      <c r="M7" s="12">
        <v>74</v>
      </c>
      <c r="N7" s="12">
        <v>128</v>
      </c>
      <c r="O7" s="14"/>
      <c r="P7" s="6">
        <v>42130.637719907405</v>
      </c>
      <c r="Q7" s="15" t="s">
        <v>56</v>
      </c>
      <c r="R7" s="17" t="s">
        <v>57</v>
      </c>
      <c r="S7" s="16" t="s">
        <v>39</v>
      </c>
      <c r="T7" s="11"/>
      <c r="U7" s="10" t="str">
        <f>HYPERLINK("https://pbs.twimg.com/profile_images/985253106949738496/slrsjper.jpg","View")</f>
        <v>View</v>
      </c>
    </row>
    <row r="8" spans="1:21" ht="51">
      <c r="A8" s="6">
        <v>43442.725740740745</v>
      </c>
      <c r="B8" s="7" t="str">
        <f>HYPERLINK("https://twitter.com/Recre99","@Recre99")</f>
        <v>@Recre99</v>
      </c>
      <c r="C8" s="8" t="s">
        <v>58</v>
      </c>
      <c r="D8" s="9" t="s">
        <v>59</v>
      </c>
      <c r="E8" s="10" t="str">
        <f>HYPERLINK("https://twitter.com/Recre99/status/1071440534818996225","1071440534818996225")</f>
        <v>1071440534818996225</v>
      </c>
      <c r="F8" s="11"/>
      <c r="G8" s="11"/>
      <c r="H8" s="11"/>
      <c r="I8" s="12">
        <v>0</v>
      </c>
      <c r="J8" s="12">
        <v>0</v>
      </c>
      <c r="K8" s="13" t="str">
        <f>HYPERLINK("https://mobile.twitter.com","Twitter Lite")</f>
        <v>Twitter Lite</v>
      </c>
      <c r="L8" s="12">
        <v>34</v>
      </c>
      <c r="M8" s="12">
        <v>173</v>
      </c>
      <c r="N8" s="12">
        <v>0</v>
      </c>
      <c r="O8" s="14"/>
      <c r="P8" s="6">
        <v>41292.720868055556</v>
      </c>
      <c r="Q8" s="15" t="s">
        <v>60</v>
      </c>
      <c r="R8" s="17" t="s">
        <v>61</v>
      </c>
      <c r="S8" s="11"/>
      <c r="T8" s="11"/>
      <c r="U8" s="10" t="str">
        <f>HYPERLINK("https://pbs.twimg.com/profile_images/3156424169/bf8097be4c6126a39abc3b445a814cf5.png","View")</f>
        <v>View</v>
      </c>
    </row>
    <row r="9" spans="1:21" ht="81.599999999999994">
      <c r="A9" s="6">
        <v>43442.722013888888</v>
      </c>
      <c r="B9" s="7" t="str">
        <f>HYPERLINK("https://twitter.com/2grober","@2grober")</f>
        <v>@2grober</v>
      </c>
      <c r="C9" s="8" t="s">
        <v>62</v>
      </c>
      <c r="D9" s="9" t="s">
        <v>63</v>
      </c>
      <c r="E9" s="10" t="str">
        <f>HYPERLINK("https://twitter.com/2grober/status/1071439183493898242","1071439183493898242")</f>
        <v>1071439183493898242</v>
      </c>
      <c r="F9" s="16" t="s">
        <v>64</v>
      </c>
      <c r="G9" s="16" t="s">
        <v>65</v>
      </c>
      <c r="H9" s="11"/>
      <c r="I9" s="12">
        <v>3</v>
      </c>
      <c r="J9" s="12">
        <v>0</v>
      </c>
      <c r="K9" s="13" t="str">
        <f>HYPERLINK("http://twitter.com/download/iphone","Twitter for iPhone")</f>
        <v>Twitter for iPhone</v>
      </c>
      <c r="L9" s="12">
        <v>159</v>
      </c>
      <c r="M9" s="12">
        <v>238</v>
      </c>
      <c r="N9" s="12">
        <v>0</v>
      </c>
      <c r="O9" s="14"/>
      <c r="P9" s="6">
        <v>41350.999374999999</v>
      </c>
      <c r="Q9" s="11"/>
      <c r="R9" s="18"/>
      <c r="S9" s="11"/>
      <c r="T9" s="11"/>
      <c r="U9" s="10" t="str">
        <f>HYPERLINK("https://pbs.twimg.com/profile_images/3394025870/e36b9c8cbe2c6ba529c3af1af2424de2.jpeg","View")</f>
        <v>View</v>
      </c>
    </row>
    <row r="10" spans="1:21" ht="81.599999999999994">
      <c r="A10" s="6">
        <v>43442.71665509259</v>
      </c>
      <c r="B10" s="7" t="str">
        <f>HYPERLINK("https://twitter.com/jmsalvade","@jmsalvade")</f>
        <v>@jmsalvade</v>
      </c>
      <c r="C10" s="8" t="s">
        <v>66</v>
      </c>
      <c r="D10" s="9" t="s">
        <v>67</v>
      </c>
      <c r="E10" s="10" t="str">
        <f>HYPERLINK("https://twitter.com/jmsalvade/status/1071437242667798528","1071437242667798528")</f>
        <v>1071437242667798528</v>
      </c>
      <c r="F10" s="16" t="s">
        <v>68</v>
      </c>
      <c r="G10" s="16" t="s">
        <v>69</v>
      </c>
      <c r="H10" s="11"/>
      <c r="I10" s="12">
        <v>0</v>
      </c>
      <c r="J10" s="12">
        <v>0</v>
      </c>
      <c r="K10" s="13" t="str">
        <f>HYPERLINK("http://twitter.com","Twitter Web Client")</f>
        <v>Twitter Web Client</v>
      </c>
      <c r="L10" s="12">
        <v>362</v>
      </c>
      <c r="M10" s="12">
        <v>695</v>
      </c>
      <c r="N10" s="12">
        <v>15</v>
      </c>
      <c r="O10" s="14"/>
      <c r="P10" s="6">
        <v>41260.869745370372</v>
      </c>
      <c r="Q10" s="11"/>
      <c r="R10" s="17" t="s">
        <v>70</v>
      </c>
      <c r="S10" s="16" t="s">
        <v>71</v>
      </c>
      <c r="T10" s="11"/>
      <c r="U10" s="10" t="str">
        <f>HYPERLINK("https://pbs.twimg.com/profile_images/455739214663917568/tdXuqCOx.jpeg","View")</f>
        <v>View</v>
      </c>
    </row>
    <row r="11" spans="1:21" ht="51">
      <c r="A11" s="6">
        <v>43442.716585648144</v>
      </c>
      <c r="B11" s="7" t="str">
        <f>HYPERLINK("https://twitter.com/franromga","@franromga")</f>
        <v>@franromga</v>
      </c>
      <c r="C11" s="8" t="s">
        <v>72</v>
      </c>
      <c r="D11" s="9" t="s">
        <v>73</v>
      </c>
      <c r="E11" s="10" t="str">
        <f>HYPERLINK("https://twitter.com/franromga/status/1071437218277928961","1071437218277928961")</f>
        <v>1071437218277928961</v>
      </c>
      <c r="F11" s="16" t="s">
        <v>75</v>
      </c>
      <c r="G11" s="11"/>
      <c r="H11" s="11"/>
      <c r="I11" s="12">
        <v>0</v>
      </c>
      <c r="J11" s="12">
        <v>0</v>
      </c>
      <c r="K11" s="13" t="str">
        <f>HYPERLINK("http://twitter.com/download/android","Twitter for Android")</f>
        <v>Twitter for Android</v>
      </c>
      <c r="L11" s="12">
        <v>48</v>
      </c>
      <c r="M11" s="12">
        <v>194</v>
      </c>
      <c r="N11" s="12">
        <v>0</v>
      </c>
      <c r="O11" s="14"/>
      <c r="P11" s="6">
        <v>43065.94017361111</v>
      </c>
      <c r="Q11" s="11"/>
      <c r="R11" s="18"/>
      <c r="S11" s="11"/>
      <c r="T11" s="11"/>
      <c r="U11" s="10" t="str">
        <f>HYPERLINK("https://pbs.twimg.com/profile_images/1070050768923828225/nqdOIRAE.jpg","View")</f>
        <v>View</v>
      </c>
    </row>
    <row r="12" spans="1:21" ht="51">
      <c r="A12" s="6">
        <v>43442.714594907404</v>
      </c>
      <c r="B12" s="7" t="str">
        <f>HYPERLINK("https://twitter.com/AminLejarza","@AminLejarza")</f>
        <v>@AminLejarza</v>
      </c>
      <c r="C12" s="8" t="s">
        <v>77</v>
      </c>
      <c r="D12" s="9" t="s">
        <v>78</v>
      </c>
      <c r="E12" s="10" t="str">
        <f>HYPERLINK("https://twitter.com/AminLejarza/status/1071436493519028224","1071436493519028224")</f>
        <v>1071436493519028224</v>
      </c>
      <c r="F12" s="11"/>
      <c r="G12" s="11"/>
      <c r="H12" s="11"/>
      <c r="I12" s="12">
        <v>2</v>
      </c>
      <c r="J12" s="12">
        <v>1</v>
      </c>
      <c r="K12" s="13" t="str">
        <f>HYPERLINK("http://twitter.com","Twitter Web Client")</f>
        <v>Twitter Web Client</v>
      </c>
      <c r="L12" s="12">
        <v>702</v>
      </c>
      <c r="M12" s="12">
        <v>168</v>
      </c>
      <c r="N12" s="12">
        <v>18</v>
      </c>
      <c r="O12" s="14"/>
      <c r="P12" s="6">
        <v>41593.815358796295</v>
      </c>
      <c r="Q12" s="15" t="s">
        <v>79</v>
      </c>
      <c r="R12" s="17" t="s">
        <v>80</v>
      </c>
      <c r="S12" s="16" t="s">
        <v>81</v>
      </c>
      <c r="T12" s="11"/>
      <c r="U12" s="10" t="str">
        <f>HYPERLINK("https://pbs.twimg.com/profile_images/1039916843853602818/QX20tZa_.jpg","View")</f>
        <v>View</v>
      </c>
    </row>
    <row r="13" spans="1:21" ht="51">
      <c r="A13" s="6">
        <v>43442.709722222222</v>
      </c>
      <c r="B13" s="7" t="str">
        <f>HYPERLINK("https://twitter.com/bitMomentum","@bitMomentum")</f>
        <v>@bitMomentum</v>
      </c>
      <c r="C13" s="8" t="s">
        <v>82</v>
      </c>
      <c r="D13" s="9" t="s">
        <v>83</v>
      </c>
      <c r="E13" s="10" t="str">
        <f>HYPERLINK("https://twitter.com/bitMomentum/status/1071434728157405186","1071434728157405186")</f>
        <v>1071434728157405186</v>
      </c>
      <c r="F13" s="11"/>
      <c r="G13" s="11"/>
      <c r="H13" s="11"/>
      <c r="I13" s="12">
        <v>0</v>
      </c>
      <c r="J13" s="12">
        <v>0</v>
      </c>
      <c r="K13" s="13" t="str">
        <f>HYPERLINK("http://www.bitmomentum.com","bitMomentum Bot")</f>
        <v>bitMomentum Bot</v>
      </c>
      <c r="L13" s="12">
        <v>10253</v>
      </c>
      <c r="M13" s="12">
        <v>1059</v>
      </c>
      <c r="N13" s="12">
        <v>263</v>
      </c>
      <c r="O13" s="14"/>
      <c r="P13" s="6">
        <v>41608.667511574073</v>
      </c>
      <c r="Q13" s="11"/>
      <c r="R13" s="17" t="s">
        <v>84</v>
      </c>
      <c r="S13" s="16" t="s">
        <v>85</v>
      </c>
      <c r="T13" s="11"/>
      <c r="U13" s="10" t="str">
        <f>HYPERLINK("https://pbs.twimg.com/profile_images/378800000862185241/20ij2H3u.png","View")</f>
        <v>View</v>
      </c>
    </row>
    <row r="14" spans="1:21" ht="30.6">
      <c r="A14" s="6">
        <v>43442.709027777775</v>
      </c>
      <c r="B14" s="7" t="str">
        <f>HYPERLINK("https://twitter.com/ideal_granada","@ideal_granada")</f>
        <v>@ideal_granada</v>
      </c>
      <c r="C14" s="8" t="s">
        <v>86</v>
      </c>
      <c r="D14" s="9" t="s">
        <v>87</v>
      </c>
      <c r="E14" s="10" t="str">
        <f>HYPERLINK("https://twitter.com/ideal_granada/status/1071434477673562113","1071434477673562113")</f>
        <v>1071434477673562113</v>
      </c>
      <c r="F14" s="16" t="s">
        <v>88</v>
      </c>
      <c r="G14" s="11"/>
      <c r="H14" s="11"/>
      <c r="I14" s="12">
        <v>2</v>
      </c>
      <c r="J14" s="12">
        <v>4</v>
      </c>
      <c r="K14" s="13" t="str">
        <f>HYPERLINK("https://about.twitter.com/products/tweetdeck","TweetDeck")</f>
        <v>TweetDeck</v>
      </c>
      <c r="L14" s="12">
        <v>117856</v>
      </c>
      <c r="M14" s="12">
        <v>868</v>
      </c>
      <c r="N14" s="12">
        <v>1180</v>
      </c>
      <c r="O14" s="23" t="s">
        <v>89</v>
      </c>
      <c r="P14" s="6">
        <v>40185.627060185187</v>
      </c>
      <c r="Q14" s="15" t="s">
        <v>90</v>
      </c>
      <c r="R14" s="17" t="s">
        <v>91</v>
      </c>
      <c r="S14" s="16" t="s">
        <v>92</v>
      </c>
      <c r="T14" s="11"/>
      <c r="U14" s="10" t="str">
        <f>HYPERLINK("https://pbs.twimg.com/profile_images/875626504134119424/cd2WXtNq.jpg","View")</f>
        <v>View</v>
      </c>
    </row>
    <row r="15" spans="1:21" ht="40.799999999999997">
      <c r="A15" s="6">
        <v>43442.709027777775</v>
      </c>
      <c r="B15" s="7" t="str">
        <f>HYPERLINK("https://twitter.com/bitMomentum","@bitMomentum")</f>
        <v>@bitMomentum</v>
      </c>
      <c r="C15" s="8" t="s">
        <v>82</v>
      </c>
      <c r="D15" s="9" t="s">
        <v>93</v>
      </c>
      <c r="E15" s="10" t="str">
        <f>HYPERLINK("https://twitter.com/bitMomentum/status/1071434476549521408","1071434476549521408")</f>
        <v>1071434476549521408</v>
      </c>
      <c r="F15" s="11"/>
      <c r="G15" s="11"/>
      <c r="H15" s="11"/>
      <c r="I15" s="12">
        <v>0</v>
      </c>
      <c r="J15" s="12">
        <v>0</v>
      </c>
      <c r="K15" s="13" t="str">
        <f>HYPERLINK("http://www.bitmomentum.com","bitMomentum Bot")</f>
        <v>bitMomentum Bot</v>
      </c>
      <c r="L15" s="12">
        <v>10253</v>
      </c>
      <c r="M15" s="12">
        <v>1059</v>
      </c>
      <c r="N15" s="12">
        <v>263</v>
      </c>
      <c r="O15" s="14"/>
      <c r="P15" s="6">
        <v>41608.667511574073</v>
      </c>
      <c r="Q15" s="11"/>
      <c r="R15" s="17" t="s">
        <v>84</v>
      </c>
      <c r="S15" s="16" t="s">
        <v>85</v>
      </c>
      <c r="T15" s="11"/>
      <c r="U15" s="10" t="str">
        <f>HYPERLINK("https://pbs.twimg.com/profile_images/378800000862185241/20ij2H3u.png","View")</f>
        <v>View</v>
      </c>
    </row>
    <row r="16" spans="1:21" ht="30.6">
      <c r="A16" s="6">
        <v>43442.70648148148</v>
      </c>
      <c r="B16" s="7" t="str">
        <f>HYPERLINK("https://twitter.com/Mabe_Fer_","@Mabe_Fer_")</f>
        <v>@Mabe_Fer_</v>
      </c>
      <c r="C16" s="8" t="s">
        <v>94</v>
      </c>
      <c r="D16" s="9" t="s">
        <v>95</v>
      </c>
      <c r="E16" s="10" t="str">
        <f>HYPERLINK("https://twitter.com/Mabe_Fer_/status/1071433556986134529","1071433556986134529")</f>
        <v>1071433556986134529</v>
      </c>
      <c r="F16" s="16" t="s">
        <v>96</v>
      </c>
      <c r="G16" s="11"/>
      <c r="H16" s="11"/>
      <c r="I16" s="12">
        <v>0</v>
      </c>
      <c r="J16" s="12">
        <v>0</v>
      </c>
      <c r="K16" s="13" t="str">
        <f>HYPERLINK("http://twitter.com/download/android","Twitter for Android")</f>
        <v>Twitter for Android</v>
      </c>
      <c r="L16" s="12">
        <v>384</v>
      </c>
      <c r="M16" s="12">
        <v>254</v>
      </c>
      <c r="N16" s="12">
        <v>0</v>
      </c>
      <c r="O16" s="14"/>
      <c r="P16" s="6">
        <v>43237.386134259257</v>
      </c>
      <c r="Q16" s="15" t="s">
        <v>97</v>
      </c>
      <c r="R16" s="17" t="s">
        <v>98</v>
      </c>
      <c r="S16" s="11"/>
      <c r="T16" s="11"/>
      <c r="U16" s="10" t="str">
        <f>HYPERLINK("https://pbs.twimg.com/profile_images/1063816291390316544/8Ae4B9b0.jpg","View")</f>
        <v>View</v>
      </c>
    </row>
    <row r="17" spans="1:21" ht="20.399999999999999">
      <c r="A17" s="6">
        <v>43442.705763888887</v>
      </c>
      <c r="B17" s="7" t="str">
        <f>HYPERLINK("https://twitter.com/quedicesprimo","@quedicesprimo")</f>
        <v>@quedicesprimo</v>
      </c>
      <c r="C17" s="8" t="s">
        <v>47</v>
      </c>
      <c r="D17" s="9" t="s">
        <v>99</v>
      </c>
      <c r="E17" s="10" t="str">
        <f>HYPERLINK("https://twitter.com/quedicesprimo/status/1071433295202791424","1071433295202791424")</f>
        <v>1071433295202791424</v>
      </c>
      <c r="F17" s="11"/>
      <c r="G17" s="11"/>
      <c r="H17" s="11"/>
      <c r="I17" s="12">
        <v>0</v>
      </c>
      <c r="J17" s="12">
        <v>1</v>
      </c>
      <c r="K17" s="13" t="str">
        <f>HYPERLINK("http://twitter.com/download/iphone","Twitter for iPhone")</f>
        <v>Twitter for iPhone</v>
      </c>
      <c r="L17" s="12">
        <v>547</v>
      </c>
      <c r="M17" s="12">
        <v>315</v>
      </c>
      <c r="N17" s="12">
        <v>5</v>
      </c>
      <c r="O17" s="14"/>
      <c r="P17" s="6">
        <v>40181.745555555557</v>
      </c>
      <c r="Q17" s="15" t="s">
        <v>100</v>
      </c>
      <c r="R17" s="17" t="s">
        <v>101</v>
      </c>
      <c r="S17" s="11"/>
      <c r="T17" s="11"/>
      <c r="U17" s="10" t="str">
        <f>HYPERLINK("https://pbs.twimg.com/profile_images/1067105294042480641/LlAj5O5V.jpg","View")</f>
        <v>View</v>
      </c>
    </row>
    <row r="18" spans="1:21" ht="40.799999999999997">
      <c r="A18" s="6">
        <v>43442.70512731481</v>
      </c>
      <c r="B18" s="7" t="str">
        <f>HYPERLINK("https://twitter.com/AminLejarza","@AminLejarza")</f>
        <v>@AminLejarza</v>
      </c>
      <c r="C18" s="8" t="s">
        <v>77</v>
      </c>
      <c r="D18" s="9" t="s">
        <v>102</v>
      </c>
      <c r="E18" s="10" t="str">
        <f>HYPERLINK("https://twitter.com/AminLejarza/status/1071433063526227968","1071433063526227968")</f>
        <v>1071433063526227968</v>
      </c>
      <c r="F18" s="11"/>
      <c r="G18" s="11"/>
      <c r="H18" s="11"/>
      <c r="I18" s="12">
        <v>0</v>
      </c>
      <c r="J18" s="12">
        <v>1</v>
      </c>
      <c r="K18" s="13" t="str">
        <f>HYPERLINK("http://twitter.com","Twitter Web Client")</f>
        <v>Twitter Web Client</v>
      </c>
      <c r="L18" s="12">
        <v>702</v>
      </c>
      <c r="M18" s="12">
        <v>168</v>
      </c>
      <c r="N18" s="12">
        <v>18</v>
      </c>
      <c r="O18" s="14"/>
      <c r="P18" s="6">
        <v>41593.815358796295</v>
      </c>
      <c r="Q18" s="15" t="s">
        <v>79</v>
      </c>
      <c r="R18" s="17" t="s">
        <v>80</v>
      </c>
      <c r="S18" s="16" t="s">
        <v>81</v>
      </c>
      <c r="T18" s="11"/>
      <c r="U18" s="10" t="str">
        <f>HYPERLINK("https://pbs.twimg.com/profile_images/1039916843853602818/QX20tZa_.jpg","View")</f>
        <v>View</v>
      </c>
    </row>
    <row r="19" spans="1:21" ht="20.399999999999999">
      <c r="A19" s="6">
        <v>43442.705034722225</v>
      </c>
      <c r="B19" s="7" t="str">
        <f>HYPERLINK("https://twitter.com/MarcMR7","@MarcMR7")</f>
        <v>@MarcMR7</v>
      </c>
      <c r="C19" s="8" t="s">
        <v>103</v>
      </c>
      <c r="D19" s="9" t="s">
        <v>104</v>
      </c>
      <c r="E19" s="10" t="str">
        <f>HYPERLINK("https://twitter.com/MarcMR7/status/1071433029426515969","1071433029426515969")</f>
        <v>1071433029426515969</v>
      </c>
      <c r="F19" s="11"/>
      <c r="G19" s="16" t="s">
        <v>105</v>
      </c>
      <c r="H19" s="11"/>
      <c r="I19" s="12">
        <v>0</v>
      </c>
      <c r="J19" s="12">
        <v>0</v>
      </c>
      <c r="K19" s="13" t="str">
        <f t="shared" ref="K19:K21" si="2">HYPERLINK("http://twitter.com/download/android","Twitter for Android")</f>
        <v>Twitter for Android</v>
      </c>
      <c r="L19" s="12">
        <v>615</v>
      </c>
      <c r="M19" s="12">
        <v>796</v>
      </c>
      <c r="N19" s="12">
        <v>14</v>
      </c>
      <c r="O19" s="14"/>
      <c r="P19" s="6">
        <v>40527.935937499999</v>
      </c>
      <c r="Q19" s="11"/>
      <c r="R19" s="17" t="s">
        <v>106</v>
      </c>
      <c r="S19" s="11"/>
      <c r="T19" s="11"/>
      <c r="U19" s="10" t="str">
        <f>HYPERLINK("https://pbs.twimg.com/profile_images/990701554658349056/zDuw3Tq4.jpg","View")</f>
        <v>View</v>
      </c>
    </row>
    <row r="20" spans="1:21" ht="13.2">
      <c r="A20" s="6">
        <v>43442.701689814814</v>
      </c>
      <c r="B20" s="7" t="str">
        <f>HYPERLINK("https://twitter.com/Abascalismo_","@Abascalismo_")</f>
        <v>@Abascalismo_</v>
      </c>
      <c r="C20" s="8" t="s">
        <v>107</v>
      </c>
      <c r="D20" s="9" t="s">
        <v>108</v>
      </c>
      <c r="E20" s="10" t="str">
        <f>HYPERLINK("https://twitter.com/Abascalismo_/status/1071431819101388802","1071431819101388802")</f>
        <v>1071431819101388802</v>
      </c>
      <c r="F20" s="11"/>
      <c r="G20" s="11"/>
      <c r="H20" s="11"/>
      <c r="I20" s="12">
        <v>0</v>
      </c>
      <c r="J20" s="12">
        <v>0</v>
      </c>
      <c r="K20" s="13" t="str">
        <f t="shared" si="2"/>
        <v>Twitter for Android</v>
      </c>
      <c r="L20" s="12">
        <v>3</v>
      </c>
      <c r="M20" s="12">
        <v>30</v>
      </c>
      <c r="N20" s="12">
        <v>0</v>
      </c>
      <c r="O20" s="14"/>
      <c r="P20" s="6">
        <v>43442.624664351853</v>
      </c>
      <c r="Q20" s="15" t="s">
        <v>109</v>
      </c>
      <c r="R20" s="17" t="s">
        <v>110</v>
      </c>
      <c r="S20" s="11"/>
      <c r="T20" s="11"/>
      <c r="U20" s="10" t="str">
        <f>HYPERLINK("https://pbs.twimg.com/profile_images/1071404896933552129/-vc6x9Ws.jpg","View")</f>
        <v>View</v>
      </c>
    </row>
    <row r="21" spans="1:21" ht="51">
      <c r="A21" s="6">
        <v>43442.700567129628</v>
      </c>
      <c r="B21" s="7" t="str">
        <f>HYPERLINK("https://twitter.com/gabylopez83","@gabylopez83")</f>
        <v>@gabylopez83</v>
      </c>
      <c r="C21" s="8" t="s">
        <v>111</v>
      </c>
      <c r="D21" s="9" t="s">
        <v>112</v>
      </c>
      <c r="E21" s="10" t="str">
        <f>HYPERLINK("https://twitter.com/gabylopez83/status/1071431413914877954","1071431413914877954")</f>
        <v>1071431413914877954</v>
      </c>
      <c r="F21" s="11"/>
      <c r="G21" s="16" t="s">
        <v>113</v>
      </c>
      <c r="H21" s="11"/>
      <c r="I21" s="12">
        <v>5</v>
      </c>
      <c r="J21" s="12">
        <v>9</v>
      </c>
      <c r="K21" s="13" t="str">
        <f t="shared" si="2"/>
        <v>Twitter for Android</v>
      </c>
      <c r="L21" s="12">
        <v>9623</v>
      </c>
      <c r="M21" s="12">
        <v>10033</v>
      </c>
      <c r="N21" s="12">
        <v>14</v>
      </c>
      <c r="O21" s="14"/>
      <c r="P21" s="6">
        <v>40862.824189814812</v>
      </c>
      <c r="Q21" s="11"/>
      <c r="R21" s="17" t="s">
        <v>114</v>
      </c>
      <c r="S21" s="16" t="s">
        <v>115</v>
      </c>
      <c r="T21" s="11"/>
      <c r="U21" s="10" t="str">
        <f>HYPERLINK("https://pbs.twimg.com/profile_images/1008854272363192320/to6ROs3Z.jpg","View")</f>
        <v>View</v>
      </c>
    </row>
    <row r="22" spans="1:21" ht="40.799999999999997">
      <c r="A22" s="6">
        <v>43442.69703703704</v>
      </c>
      <c r="B22" s="7" t="str">
        <f>HYPERLINK("https://twitter.com/roaldcs","@roaldcs")</f>
        <v>@roaldcs</v>
      </c>
      <c r="C22" s="8" t="s">
        <v>116</v>
      </c>
      <c r="D22" s="9" t="s">
        <v>117</v>
      </c>
      <c r="E22" s="10" t="str">
        <f>HYPERLINK("https://twitter.com/roaldcs/status/1071430131439337472","1071430131439337472")</f>
        <v>1071430131439337472</v>
      </c>
      <c r="F22" s="11"/>
      <c r="G22" s="11"/>
      <c r="H22" s="11"/>
      <c r="I22" s="12">
        <v>0</v>
      </c>
      <c r="J22" s="12">
        <v>0</v>
      </c>
      <c r="K22" s="13" t="str">
        <f>HYPERLINK("http://twitter.com/#!/download/ipad","Twitter for iPad")</f>
        <v>Twitter for iPad</v>
      </c>
      <c r="L22" s="12">
        <v>2416</v>
      </c>
      <c r="M22" s="12">
        <v>3103</v>
      </c>
      <c r="N22" s="12">
        <v>97</v>
      </c>
      <c r="O22" s="14"/>
      <c r="P22" s="6">
        <v>39727.38921296296</v>
      </c>
      <c r="Q22" s="15" t="s">
        <v>118</v>
      </c>
      <c r="R22" s="17" t="s">
        <v>119</v>
      </c>
      <c r="S22" s="16" t="s">
        <v>120</v>
      </c>
      <c r="T22" s="11"/>
      <c r="U22" s="10" t="str">
        <f>HYPERLINK("https://pbs.twimg.com/profile_images/1054499157145239552/HhGbOXfh.jpg","View")</f>
        <v>View</v>
      </c>
    </row>
    <row r="23" spans="1:21" ht="91.8">
      <c r="A23" s="6">
        <v>43442.695474537039</v>
      </c>
      <c r="B23" s="7" t="str">
        <f>HYPERLINK("https://twitter.com/jmguzmanocon","@jmguzmanocon")</f>
        <v>@jmguzmanocon</v>
      </c>
      <c r="C23" s="8" t="s">
        <v>121</v>
      </c>
      <c r="D23" s="9" t="s">
        <v>122</v>
      </c>
      <c r="E23" s="10" t="str">
        <f>HYPERLINK("https://twitter.com/jmguzmanocon/status/1071429567771017217","1071429567771017217")</f>
        <v>1071429567771017217</v>
      </c>
      <c r="F23" s="15" t="s">
        <v>123</v>
      </c>
      <c r="G23" s="11"/>
      <c r="H23" s="11"/>
      <c r="I23" s="12">
        <v>0</v>
      </c>
      <c r="J23" s="12">
        <v>1</v>
      </c>
      <c r="K23" s="13" t="str">
        <f>HYPERLINK("https://mobile.twitter.com","Twitter Lite")</f>
        <v>Twitter Lite</v>
      </c>
      <c r="L23" s="12">
        <v>47</v>
      </c>
      <c r="M23" s="12">
        <v>418</v>
      </c>
      <c r="N23" s="12">
        <v>0</v>
      </c>
      <c r="O23" s="14"/>
      <c r="P23" s="6">
        <v>40881.688437500001</v>
      </c>
      <c r="Q23" s="11"/>
      <c r="R23" s="18"/>
      <c r="S23" s="11"/>
      <c r="T23" s="11"/>
      <c r="U23" s="10" t="str">
        <f>HYPERLINK("https://pbs.twimg.com/profile_images/2573244350/40rcwQjo","View")</f>
        <v>View</v>
      </c>
    </row>
    <row r="24" spans="1:21" ht="61.2">
      <c r="A24" s="6">
        <v>43442.68204861111</v>
      </c>
      <c r="B24" s="7" t="str">
        <f>HYPERLINK("https://twitter.com/GNoub","@GNoub")</f>
        <v>@GNoub</v>
      </c>
      <c r="C24" s="8" t="s">
        <v>124</v>
      </c>
      <c r="D24" s="9" t="s">
        <v>125</v>
      </c>
      <c r="E24" s="10" t="str">
        <f>HYPERLINK("https://twitter.com/GNoub/status/1071424702135062529","1071424702135062529")</f>
        <v>1071424702135062529</v>
      </c>
      <c r="F24" s="16" t="s">
        <v>126</v>
      </c>
      <c r="G24" s="16" t="s">
        <v>127</v>
      </c>
      <c r="H24" s="11"/>
      <c r="I24" s="12">
        <v>0</v>
      </c>
      <c r="J24" s="12">
        <v>0</v>
      </c>
      <c r="K24" s="13" t="str">
        <f>HYPERLINK("http://twitter.com/download/iphone","Twitter for iPhone")</f>
        <v>Twitter for iPhone</v>
      </c>
      <c r="L24" s="12">
        <v>342</v>
      </c>
      <c r="M24" s="12">
        <v>1069</v>
      </c>
      <c r="N24" s="12">
        <v>10</v>
      </c>
      <c r="O24" s="14"/>
      <c r="P24" s="6">
        <v>41481.331631944442</v>
      </c>
      <c r="Q24" s="11"/>
      <c r="R24" s="17" t="s">
        <v>128</v>
      </c>
      <c r="S24" s="16" t="s">
        <v>129</v>
      </c>
      <c r="T24" s="11"/>
      <c r="U24" s="10" t="str">
        <f>HYPERLINK("https://pbs.twimg.com/profile_images/911976169125433344/O4OJXgXA.jpg","View")</f>
        <v>View</v>
      </c>
    </row>
    <row r="25" spans="1:21" ht="30.6">
      <c r="A25" s="6">
        <v>43442.681284722217</v>
      </c>
      <c r="B25" s="7" t="str">
        <f>HYPERLINK("https://twitter.com/J_ParraG","@J_ParraG")</f>
        <v>@J_ParraG</v>
      </c>
      <c r="C25" s="8" t="s">
        <v>130</v>
      </c>
      <c r="D25" s="9" t="s">
        <v>131</v>
      </c>
      <c r="E25" s="10" t="str">
        <f>HYPERLINK("https://twitter.com/J_ParraG/status/1071424423993978881","1071424423993978881")</f>
        <v>1071424423993978881</v>
      </c>
      <c r="F25" s="16" t="s">
        <v>132</v>
      </c>
      <c r="G25" s="11"/>
      <c r="H25" s="11"/>
      <c r="I25" s="12">
        <v>5</v>
      </c>
      <c r="J25" s="12">
        <v>7</v>
      </c>
      <c r="K25" s="13" t="str">
        <f t="shared" ref="K25:K26" si="3">HYPERLINK("http://twitter.com/download/android","Twitter for Android")</f>
        <v>Twitter for Android</v>
      </c>
      <c r="L25" s="12">
        <v>384</v>
      </c>
      <c r="M25" s="12">
        <v>972</v>
      </c>
      <c r="N25" s="12">
        <v>14</v>
      </c>
      <c r="O25" s="14"/>
      <c r="P25" s="6">
        <v>40918.953576388885</v>
      </c>
      <c r="Q25" s="15" t="s">
        <v>133</v>
      </c>
      <c r="R25" s="17" t="s">
        <v>134</v>
      </c>
      <c r="S25" s="11"/>
      <c r="T25" s="11"/>
      <c r="U25" s="10" t="str">
        <f>HYPERLINK("https://pbs.twimg.com/profile_images/1048291555134656513/KPn63Fw4.jpg","View")</f>
        <v>View</v>
      </c>
    </row>
    <row r="26" spans="1:21" ht="112.2">
      <c r="A26" s="6">
        <v>43442.678449074076</v>
      </c>
      <c r="B26" s="7" t="str">
        <f>HYPERLINK("https://twitter.com/UriCAT84","@UriCAT84")</f>
        <v>@UriCAT84</v>
      </c>
      <c r="C26" s="8" t="s">
        <v>135</v>
      </c>
      <c r="D26" s="9" t="s">
        <v>136</v>
      </c>
      <c r="E26" s="10" t="str">
        <f>HYPERLINK("https://twitter.com/UriCAT84/status/1071423396645429248","1071423396645429248")</f>
        <v>1071423396645429248</v>
      </c>
      <c r="F26" s="16" t="s">
        <v>137</v>
      </c>
      <c r="G26" s="16" t="s">
        <v>138</v>
      </c>
      <c r="H26" s="11"/>
      <c r="I26" s="12">
        <v>0</v>
      </c>
      <c r="J26" s="12">
        <v>0</v>
      </c>
      <c r="K26" s="13" t="str">
        <f t="shared" si="3"/>
        <v>Twitter for Android</v>
      </c>
      <c r="L26" s="12">
        <v>1229</v>
      </c>
      <c r="M26" s="12">
        <v>2065</v>
      </c>
      <c r="N26" s="12">
        <v>0</v>
      </c>
      <c r="O26" s="14"/>
      <c r="P26" s="6">
        <v>40701.65960648148</v>
      </c>
      <c r="Q26" s="11"/>
      <c r="R26" s="18"/>
      <c r="S26" s="11"/>
      <c r="T26" s="11"/>
      <c r="U26" s="10" t="str">
        <f>HYPERLINK("https://pbs.twimg.com/profile_images/915586738516561920/C960_H5-.jpg","View")</f>
        <v>View</v>
      </c>
    </row>
    <row r="27" spans="1:21" ht="40.799999999999997">
      <c r="A27" s="6">
        <v>43442.677870370375</v>
      </c>
      <c r="B27" s="7" t="str">
        <f>HYPERLINK("https://twitter.com/MariaTabarnia","@MariaTabarnia")</f>
        <v>@MariaTabarnia</v>
      </c>
      <c r="C27" s="8" t="s">
        <v>139</v>
      </c>
      <c r="D27" s="9" t="s">
        <v>140</v>
      </c>
      <c r="E27" s="10" t="str">
        <f>HYPERLINK("https://twitter.com/MariaTabarnia/status/1071423185130848256","1071423185130848256")</f>
        <v>1071423185130848256</v>
      </c>
      <c r="F27" s="16" t="s">
        <v>141</v>
      </c>
      <c r="G27" s="11"/>
      <c r="H27" s="11"/>
      <c r="I27" s="12">
        <v>7</v>
      </c>
      <c r="J27" s="12">
        <v>13</v>
      </c>
      <c r="K27" s="13" t="str">
        <f>HYPERLINK("http://twitter.com/#!/download/ipad","Twitter for iPad")</f>
        <v>Twitter for iPad</v>
      </c>
      <c r="L27" s="12">
        <v>12679</v>
      </c>
      <c r="M27" s="12">
        <v>13834</v>
      </c>
      <c r="N27" s="12">
        <v>55</v>
      </c>
      <c r="O27" s="14"/>
      <c r="P27" s="6">
        <v>41424.855567129627</v>
      </c>
      <c r="Q27" s="15" t="s">
        <v>142</v>
      </c>
      <c r="R27" s="17" t="s">
        <v>143</v>
      </c>
      <c r="S27" s="11"/>
      <c r="T27" s="11"/>
      <c r="U27" s="10" t="str">
        <f>HYPERLINK("https://pbs.twimg.com/profile_images/906661884199391232/L9xcUYsf.jpg","View")</f>
        <v>View</v>
      </c>
    </row>
    <row r="28" spans="1:21" ht="61.2">
      <c r="A28" s="6">
        <v>43442.673483796301</v>
      </c>
      <c r="B28" s="7" t="str">
        <f>HYPERLINK("https://twitter.com/BulnesJuan1","@BulnesJuan1")</f>
        <v>@BulnesJuan1</v>
      </c>
      <c r="C28" s="8" t="s">
        <v>144</v>
      </c>
      <c r="D28" s="9" t="s">
        <v>145</v>
      </c>
      <c r="E28" s="10" t="str">
        <f>HYPERLINK("https://twitter.com/BulnesJuan1/status/1071421597179961350","1071421597179961350")</f>
        <v>1071421597179961350</v>
      </c>
      <c r="F28" s="11"/>
      <c r="G28" s="11"/>
      <c r="H28" s="11"/>
      <c r="I28" s="12">
        <v>0</v>
      </c>
      <c r="J28" s="12">
        <v>0</v>
      </c>
      <c r="K28" s="13" t="str">
        <f>HYPERLINK("http://twitter.com","Twitter Web Client")</f>
        <v>Twitter Web Client</v>
      </c>
      <c r="L28" s="12">
        <v>543</v>
      </c>
      <c r="M28" s="12">
        <v>539</v>
      </c>
      <c r="N28" s="12">
        <v>11</v>
      </c>
      <c r="O28" s="14"/>
      <c r="P28" s="6">
        <v>40703.898344907408</v>
      </c>
      <c r="Q28" s="15" t="s">
        <v>146</v>
      </c>
      <c r="R28" s="17" t="s">
        <v>147</v>
      </c>
      <c r="S28" s="11"/>
      <c r="T28" s="11"/>
      <c r="U28" s="10" t="str">
        <f>HYPERLINK("https://pbs.twimg.com/profile_images/696962022991380480/4dQ_uC0f.png","View")</f>
        <v>View</v>
      </c>
    </row>
    <row r="29" spans="1:21" ht="51">
      <c r="A29" s="6">
        <v>43442.66805555555</v>
      </c>
      <c r="B29" s="7" t="str">
        <f t="shared" ref="B29:B30" si="4">HYPERLINK("https://twitter.com/bitMomentum","@bitMomentum")</f>
        <v>@bitMomentum</v>
      </c>
      <c r="C29" s="8" t="s">
        <v>82</v>
      </c>
      <c r="D29" s="9" t="s">
        <v>148</v>
      </c>
      <c r="E29" s="10" t="str">
        <f>HYPERLINK("https://twitter.com/bitMomentum/status/1071419628717572096","1071419628717572096")</f>
        <v>1071419628717572096</v>
      </c>
      <c r="F29" s="11"/>
      <c r="G29" s="11"/>
      <c r="H29" s="11"/>
      <c r="I29" s="12">
        <v>0</v>
      </c>
      <c r="J29" s="12">
        <v>0</v>
      </c>
      <c r="K29" s="13" t="str">
        <f t="shared" ref="K29:K30" si="5">HYPERLINK("http://www.bitmomentum.com","bitMomentum Bot")</f>
        <v>bitMomentum Bot</v>
      </c>
      <c r="L29" s="12">
        <v>10253</v>
      </c>
      <c r="M29" s="12">
        <v>1059</v>
      </c>
      <c r="N29" s="12">
        <v>263</v>
      </c>
      <c r="O29" s="14"/>
      <c r="P29" s="6">
        <v>41608.667511574073</v>
      </c>
      <c r="Q29" s="11"/>
      <c r="R29" s="17" t="s">
        <v>84</v>
      </c>
      <c r="S29" s="16" t="s">
        <v>85</v>
      </c>
      <c r="T29" s="11"/>
      <c r="U29" s="10" t="str">
        <f t="shared" ref="U29:U30" si="6">HYPERLINK("https://pbs.twimg.com/profile_images/378800000862185241/20ij2H3u.png","View")</f>
        <v>View</v>
      </c>
    </row>
    <row r="30" spans="1:21" ht="40.799999999999997">
      <c r="A30" s="6">
        <v>43442.667361111111</v>
      </c>
      <c r="B30" s="7" t="str">
        <f t="shared" si="4"/>
        <v>@bitMomentum</v>
      </c>
      <c r="C30" s="8" t="s">
        <v>82</v>
      </c>
      <c r="D30" s="9" t="s">
        <v>149</v>
      </c>
      <c r="E30" s="10" t="str">
        <f>HYPERLINK("https://twitter.com/bitMomentum/status/1071419377155796993","1071419377155796993")</f>
        <v>1071419377155796993</v>
      </c>
      <c r="F30" s="11"/>
      <c r="G30" s="11"/>
      <c r="H30" s="11"/>
      <c r="I30" s="12">
        <v>0</v>
      </c>
      <c r="J30" s="12">
        <v>0</v>
      </c>
      <c r="K30" s="13" t="str">
        <f t="shared" si="5"/>
        <v>bitMomentum Bot</v>
      </c>
      <c r="L30" s="12">
        <v>10253</v>
      </c>
      <c r="M30" s="12">
        <v>1059</v>
      </c>
      <c r="N30" s="12">
        <v>263</v>
      </c>
      <c r="O30" s="14"/>
      <c r="P30" s="6">
        <v>41608.667511574073</v>
      </c>
      <c r="Q30" s="11"/>
      <c r="R30" s="17" t="s">
        <v>84</v>
      </c>
      <c r="S30" s="16" t="s">
        <v>85</v>
      </c>
      <c r="T30" s="11"/>
      <c r="U30" s="10" t="str">
        <f t="shared" si="6"/>
        <v>View</v>
      </c>
    </row>
    <row r="31" spans="1:21" ht="61.2">
      <c r="A31" s="6">
        <v>43442.659583333334</v>
      </c>
      <c r="B31" s="7" t="str">
        <f>HYPERLINK("https://twitter.com/a_dominguezs","@a_dominguezs")</f>
        <v>@a_dominguezs</v>
      </c>
      <c r="C31" s="8" t="s">
        <v>150</v>
      </c>
      <c r="D31" s="9" t="s">
        <v>151</v>
      </c>
      <c r="E31" s="10" t="str">
        <f>HYPERLINK("https://twitter.com/a_dominguezs/status/1071416561154568192","1071416561154568192")</f>
        <v>1071416561154568192</v>
      </c>
      <c r="F31" s="16" t="s">
        <v>152</v>
      </c>
      <c r="G31" s="11"/>
      <c r="H31" s="11"/>
      <c r="I31" s="12">
        <v>0</v>
      </c>
      <c r="J31" s="12">
        <v>0</v>
      </c>
      <c r="K31" s="13" t="str">
        <f>HYPERLINK("http://twitter.com/download/android","Twitter for Android")</f>
        <v>Twitter for Android</v>
      </c>
      <c r="L31" s="12">
        <v>78</v>
      </c>
      <c r="M31" s="12">
        <v>31</v>
      </c>
      <c r="N31" s="12">
        <v>6</v>
      </c>
      <c r="O31" s="14"/>
      <c r="P31" s="6">
        <v>42174.934432870374</v>
      </c>
      <c r="Q31" s="11"/>
      <c r="R31" s="17" t="s">
        <v>153</v>
      </c>
      <c r="S31" s="11"/>
      <c r="T31" s="11"/>
      <c r="U31" s="10" t="str">
        <f>HYPERLINK("https://pbs.twimg.com/profile_images/895430591671402496/pumpNq94.jpg","View")</f>
        <v>View</v>
      </c>
    </row>
    <row r="32" spans="1:21" ht="40.799999999999997">
      <c r="A32" s="6">
        <v>43442.657905092594</v>
      </c>
      <c r="B32" s="7" t="str">
        <f>HYPERLINK("https://twitter.com/EspanaJusta10","@EspanaJusta10")</f>
        <v>@EspanaJusta10</v>
      </c>
      <c r="C32" s="8" t="s">
        <v>154</v>
      </c>
      <c r="D32" s="9" t="s">
        <v>155</v>
      </c>
      <c r="E32" s="10" t="str">
        <f>HYPERLINK("https://twitter.com/EspanaJusta10/status/1071415953680928769","1071415953680928769")</f>
        <v>1071415953680928769</v>
      </c>
      <c r="F32" s="16" t="s">
        <v>156</v>
      </c>
      <c r="G32" s="11"/>
      <c r="H32" s="11"/>
      <c r="I32" s="12">
        <v>0</v>
      </c>
      <c r="J32" s="12">
        <v>1</v>
      </c>
      <c r="K32" s="13" t="str">
        <f>HYPERLINK("http://twitter.com","Twitter Web Client")</f>
        <v>Twitter Web Client</v>
      </c>
      <c r="L32" s="12">
        <v>341</v>
      </c>
      <c r="M32" s="12">
        <v>1077</v>
      </c>
      <c r="N32" s="12">
        <v>0</v>
      </c>
      <c r="O32" s="14"/>
      <c r="P32" s="6">
        <v>43384.003148148149</v>
      </c>
      <c r="Q32" s="15" t="s">
        <v>157</v>
      </c>
      <c r="R32" s="17" t="s">
        <v>158</v>
      </c>
      <c r="S32" s="11"/>
      <c r="T32" s="11"/>
      <c r="U32" s="10" t="str">
        <f>HYPERLINK("https://pbs.twimg.com/profile_images/1050164153313320960/E5l4rbsK.jpg","View")</f>
        <v>View</v>
      </c>
    </row>
    <row r="33" spans="1:21" ht="61.2">
      <c r="A33" s="6">
        <v>43442.656678240739</v>
      </c>
      <c r="B33" s="7" t="str">
        <f>HYPERLINK("https://twitter.com/psolidaridad","@psolidaridad")</f>
        <v>@psolidaridad</v>
      </c>
      <c r="C33" s="8" t="s">
        <v>159</v>
      </c>
      <c r="D33" s="9" t="s">
        <v>160</v>
      </c>
      <c r="E33" s="10" t="str">
        <f>HYPERLINK("https://twitter.com/psolidaridad/status/1071415508229087233","1071415508229087233")</f>
        <v>1071415508229087233</v>
      </c>
      <c r="F33" s="16" t="s">
        <v>161</v>
      </c>
      <c r="G33" s="11"/>
      <c r="H33" s="11"/>
      <c r="I33" s="12">
        <v>1</v>
      </c>
      <c r="J33" s="12">
        <v>1</v>
      </c>
      <c r="K33" s="13" t="str">
        <f t="shared" ref="K33:K35" si="7">HYPERLINK("http://twitter.com/download/android","Twitter for Android")</f>
        <v>Twitter for Android</v>
      </c>
      <c r="L33" s="12">
        <v>1623</v>
      </c>
      <c r="M33" s="12">
        <v>4841</v>
      </c>
      <c r="N33" s="12">
        <v>1</v>
      </c>
      <c r="O33" s="14"/>
      <c r="P33" s="6">
        <v>41803.502372685187</v>
      </c>
      <c r="Q33" s="11"/>
      <c r="R33" s="17" t="s">
        <v>162</v>
      </c>
      <c r="S33" s="11"/>
      <c r="T33" s="11"/>
      <c r="U33" s="10" t="str">
        <f>HYPERLINK("https://pbs.twimg.com/profile_images/1030394358397317120/oQ0F2vnz.jpg","View")</f>
        <v>View</v>
      </c>
    </row>
    <row r="34" spans="1:21" ht="61.2">
      <c r="A34" s="6">
        <v>43442.654953703706</v>
      </c>
      <c r="B34" s="7" t="str">
        <f>HYPERLINK("https://twitter.com/AJasgcoto","@AJasgcoto")</f>
        <v>@AJasgcoto</v>
      </c>
      <c r="C34" s="8" t="s">
        <v>163</v>
      </c>
      <c r="D34" s="9" t="s">
        <v>164</v>
      </c>
      <c r="E34" s="10" t="str">
        <f>HYPERLINK("https://twitter.com/AJasgcoto/status/1071414883575570433","1071414883575570433")</f>
        <v>1071414883575570433</v>
      </c>
      <c r="F34" s="15" t="s">
        <v>165</v>
      </c>
      <c r="G34" s="16" t="s">
        <v>166</v>
      </c>
      <c r="H34" s="11"/>
      <c r="I34" s="12">
        <v>0</v>
      </c>
      <c r="J34" s="12">
        <v>0</v>
      </c>
      <c r="K34" s="13" t="str">
        <f t="shared" si="7"/>
        <v>Twitter for Android</v>
      </c>
      <c r="L34" s="12">
        <v>413</v>
      </c>
      <c r="M34" s="12">
        <v>263</v>
      </c>
      <c r="N34" s="12">
        <v>9</v>
      </c>
      <c r="O34" s="14"/>
      <c r="P34" s="6">
        <v>42002.511886574073</v>
      </c>
      <c r="Q34" s="11"/>
      <c r="R34" s="17" t="s">
        <v>167</v>
      </c>
      <c r="S34" s="11"/>
      <c r="T34" s="11"/>
      <c r="U34" s="10" t="str">
        <f>HYPERLINK("https://pbs.twimg.com/profile_images/1055551430059266048/As_p8fsV.jpg","View")</f>
        <v>View</v>
      </c>
    </row>
    <row r="35" spans="1:21" ht="40.799999999999997">
      <c r="A35" s="6">
        <v>43442.652245370366</v>
      </c>
      <c r="B35" s="7" t="str">
        <f>HYPERLINK("https://twitter.com/criptosfree","@criptosfree")</f>
        <v>@criptosfree</v>
      </c>
      <c r="C35" s="8" t="s">
        <v>168</v>
      </c>
      <c r="D35" s="9" t="s">
        <v>169</v>
      </c>
      <c r="E35" s="10" t="str">
        <f>HYPERLINK("https://twitter.com/criptosfree/status/1071413902683111424","1071413902683111424")</f>
        <v>1071413902683111424</v>
      </c>
      <c r="F35" s="11"/>
      <c r="G35" s="16" t="s">
        <v>170</v>
      </c>
      <c r="H35" s="11"/>
      <c r="I35" s="12">
        <v>0</v>
      </c>
      <c r="J35" s="12">
        <v>0</v>
      </c>
      <c r="K35" s="13" t="str">
        <f t="shared" si="7"/>
        <v>Twitter for Android</v>
      </c>
      <c r="L35" s="12">
        <v>27</v>
      </c>
      <c r="M35" s="12">
        <v>70</v>
      </c>
      <c r="N35" s="12">
        <v>0</v>
      </c>
      <c r="O35" s="14"/>
      <c r="P35" s="6">
        <v>43243.494629629626</v>
      </c>
      <c r="Q35" s="15" t="s">
        <v>157</v>
      </c>
      <c r="R35" s="17" t="s">
        <v>171</v>
      </c>
      <c r="S35" s="16" t="s">
        <v>172</v>
      </c>
      <c r="T35" s="11"/>
      <c r="U35" s="10" t="str">
        <f>HYPERLINK("https://pbs.twimg.com/profile_images/999229720494460928/9eiZjcjT.jpg","View")</f>
        <v>View</v>
      </c>
    </row>
    <row r="36" spans="1:21" ht="51">
      <c r="A36" s="6">
        <v>43442.65221064815</v>
      </c>
      <c r="B36" s="7" t="str">
        <f>HYPERLINK("https://twitter.com/yoanjosep","@yoanjosep")</f>
        <v>@yoanjosep</v>
      </c>
      <c r="C36" s="8" t="s">
        <v>173</v>
      </c>
      <c r="D36" s="9" t="s">
        <v>174</v>
      </c>
      <c r="E36" s="10" t="str">
        <f>HYPERLINK("https://twitter.com/yoanjosep/status/1071413886593712129","1071413886593712129")</f>
        <v>1071413886593712129</v>
      </c>
      <c r="F36" s="16" t="s">
        <v>175</v>
      </c>
      <c r="G36" s="11"/>
      <c r="H36" s="11"/>
      <c r="I36" s="12">
        <v>0</v>
      </c>
      <c r="J36" s="12">
        <v>0</v>
      </c>
      <c r="K36" s="13" t="str">
        <f>HYPERLINK("http://twitter.com","Twitter Web Client")</f>
        <v>Twitter Web Client</v>
      </c>
      <c r="L36" s="12">
        <v>20</v>
      </c>
      <c r="M36" s="12">
        <v>145</v>
      </c>
      <c r="N36" s="12">
        <v>1</v>
      </c>
      <c r="O36" s="14"/>
      <c r="P36" s="6">
        <v>39998.73572916667</v>
      </c>
      <c r="Q36" s="11"/>
      <c r="R36" s="17" t="s">
        <v>176</v>
      </c>
      <c r="S36" s="11"/>
      <c r="T36" s="11"/>
      <c r="U36" s="10" t="str">
        <f>HYPERLINK("https://pbs.twimg.com/profile_images/780801902288179200/fKQKVMAK.jpg","View")</f>
        <v>View</v>
      </c>
    </row>
    <row r="37" spans="1:21" ht="51">
      <c r="A37" s="6">
        <v>43442.651655092588</v>
      </c>
      <c r="B37" s="7" t="str">
        <f>HYPERLINK("https://twitter.com/apocaleftists","@apocaleftists")</f>
        <v>@apocaleftists</v>
      </c>
      <c r="C37" s="8" t="s">
        <v>177</v>
      </c>
      <c r="D37" s="9" t="s">
        <v>178</v>
      </c>
      <c r="E37" s="10" t="str">
        <f>HYPERLINK("https://twitter.com/apocaleftists/status/1071413687729172480","1071413687729172480")</f>
        <v>1071413687729172480</v>
      </c>
      <c r="F37" s="16" t="s">
        <v>179</v>
      </c>
      <c r="G37" s="11"/>
      <c r="H37" s="11"/>
      <c r="I37" s="12">
        <v>1</v>
      </c>
      <c r="J37" s="12">
        <v>0</v>
      </c>
      <c r="K37" s="13" t="str">
        <f>HYPERLINK("https://mobile.twitter.com","Twitter Lite")</f>
        <v>Twitter Lite</v>
      </c>
      <c r="L37" s="12">
        <v>252</v>
      </c>
      <c r="M37" s="12">
        <v>154</v>
      </c>
      <c r="N37" s="12">
        <v>1</v>
      </c>
      <c r="O37" s="14"/>
      <c r="P37" s="6">
        <v>43421.83293981482</v>
      </c>
      <c r="Q37" s="15" t="s">
        <v>180</v>
      </c>
      <c r="R37" s="17" t="s">
        <v>181</v>
      </c>
      <c r="S37" s="11"/>
      <c r="T37" s="11"/>
      <c r="U37" s="10" t="str">
        <f>HYPERLINK("https://pbs.twimg.com/profile_images/1064075762247057408/UiuaGcq8.jpg","View")</f>
        <v>View</v>
      </c>
    </row>
    <row r="38" spans="1:21" ht="20.399999999999999">
      <c r="A38" s="6">
        <v>43442.65116898148</v>
      </c>
      <c r="B38" s="7" t="str">
        <f>HYPERLINK("https://twitter.com/negativo_stats","@negativo_stats")</f>
        <v>@negativo_stats</v>
      </c>
      <c r="C38" s="8" t="s">
        <v>182</v>
      </c>
      <c r="D38" s="9" t="s">
        <v>183</v>
      </c>
      <c r="E38" s="10" t="str">
        <f>HYPERLINK("https://twitter.com/negativo_stats/status/1071413509026660352","1071413509026660352")</f>
        <v>1071413509026660352</v>
      </c>
      <c r="F38" s="11"/>
      <c r="G38" s="16" t="s">
        <v>184</v>
      </c>
      <c r="H38" s="11"/>
      <c r="I38" s="12">
        <v>0</v>
      </c>
      <c r="J38" s="12">
        <v>0</v>
      </c>
      <c r="K38" s="13" t="str">
        <f>HYPERLINK("http://kosmonautica.es","Política Negativa")</f>
        <v>Política Negativa</v>
      </c>
      <c r="L38" s="12">
        <v>268</v>
      </c>
      <c r="M38" s="12">
        <v>788</v>
      </c>
      <c r="N38" s="12">
        <v>2</v>
      </c>
      <c r="O38" s="14"/>
      <c r="P38" s="6">
        <v>42171.770601851851</v>
      </c>
      <c r="Q38" s="15" t="s">
        <v>185</v>
      </c>
      <c r="R38" s="17" t="s">
        <v>186</v>
      </c>
      <c r="S38" s="11"/>
      <c r="T38" s="11"/>
      <c r="U38" s="10" t="str">
        <f>HYPERLINK("https://pbs.twimg.com/profile_images/628553625984438272/e-VHyhP1.png","View")</f>
        <v>View</v>
      </c>
    </row>
    <row r="39" spans="1:21" ht="30.6">
      <c r="A39" s="6">
        <v>43442.647222222222</v>
      </c>
      <c r="B39" s="7" t="str">
        <f>HYPERLINK("https://twitter.com/elEconomistaes","@elEconomistaes")</f>
        <v>@elEconomistaes</v>
      </c>
      <c r="C39" s="24" t="s">
        <v>187</v>
      </c>
      <c r="D39" s="9" t="s">
        <v>188</v>
      </c>
      <c r="E39" s="10" t="str">
        <f>HYPERLINK("https://twitter.com/elEconomistaes/status/1071412080232857607","1071412080232857607")</f>
        <v>1071412080232857607</v>
      </c>
      <c r="F39" s="16" t="s">
        <v>189</v>
      </c>
      <c r="G39" s="11"/>
      <c r="H39" s="11"/>
      <c r="I39" s="12">
        <v>7</v>
      </c>
      <c r="J39" s="12">
        <v>2</v>
      </c>
      <c r="K39" s="13" t="str">
        <f>HYPERLINK("https://about.twitter.com/products/tweetdeck","TweetDeck")</f>
        <v>TweetDeck</v>
      </c>
      <c r="L39" s="12">
        <v>656089</v>
      </c>
      <c r="M39" s="12">
        <v>382</v>
      </c>
      <c r="N39" s="12">
        <v>8764</v>
      </c>
      <c r="O39" s="23" t="s">
        <v>89</v>
      </c>
      <c r="P39" s="6">
        <v>40373.48164351852</v>
      </c>
      <c r="Q39" s="11"/>
      <c r="R39" s="17" t="s">
        <v>190</v>
      </c>
      <c r="S39" s="16" t="s">
        <v>191</v>
      </c>
      <c r="T39" s="11"/>
      <c r="U39" s="10" t="str">
        <f>HYPERLINK("https://pbs.twimg.com/profile_images/899527230833012736/uMjGoE60.jpg","View")</f>
        <v>View</v>
      </c>
    </row>
    <row r="40" spans="1:21" ht="40.799999999999997">
      <c r="A40" s="6">
        <v>43442.647152777776</v>
      </c>
      <c r="B40" s="7" t="str">
        <f>HYPERLINK("https://twitter.com/pablosg09","@pablosg09")</f>
        <v>@pablosg09</v>
      </c>
      <c r="C40" s="8" t="s">
        <v>192</v>
      </c>
      <c r="D40" s="9" t="s">
        <v>193</v>
      </c>
      <c r="E40" s="10" t="str">
        <f>HYPERLINK("https://twitter.com/pablosg09/status/1071412054253293574","1071412054253293574")</f>
        <v>1071412054253293574</v>
      </c>
      <c r="F40" s="11"/>
      <c r="G40" s="11"/>
      <c r="H40" s="11"/>
      <c r="I40" s="12">
        <v>0</v>
      </c>
      <c r="J40" s="12">
        <v>2</v>
      </c>
      <c r="K40" s="13" t="str">
        <f t="shared" ref="K40:K41" si="8">HYPERLINK("http://twitter.com/download/android","Twitter for Android")</f>
        <v>Twitter for Android</v>
      </c>
      <c r="L40" s="12">
        <v>40</v>
      </c>
      <c r="M40" s="12">
        <v>380</v>
      </c>
      <c r="N40" s="12">
        <v>0</v>
      </c>
      <c r="O40" s="14"/>
      <c r="P40" s="6">
        <v>42253.69121527778</v>
      </c>
      <c r="Q40" s="11"/>
      <c r="R40" s="18"/>
      <c r="S40" s="11"/>
      <c r="T40" s="11"/>
      <c r="U40" s="10" t="str">
        <f>HYPERLINK("https://pbs.twimg.com/profile_images/1016700677517651970/lAv6zeis.jpg","View")</f>
        <v>View</v>
      </c>
    </row>
    <row r="41" spans="1:21" ht="51">
      <c r="A41" s="6">
        <v>43442.646377314813</v>
      </c>
      <c r="B41" s="7" t="str">
        <f>HYPERLINK("https://twitter.com/doguionrego","@doguionrego")</f>
        <v>@doguionrego</v>
      </c>
      <c r="C41" s="8" t="s">
        <v>194</v>
      </c>
      <c r="D41" s="9" t="s">
        <v>195</v>
      </c>
      <c r="E41" s="10" t="str">
        <f>HYPERLINK("https://twitter.com/doguionrego/status/1071411774023438337","1071411774023438337")</f>
        <v>1071411774023438337</v>
      </c>
      <c r="F41" s="16" t="s">
        <v>196</v>
      </c>
      <c r="G41" s="11"/>
      <c r="H41" s="11"/>
      <c r="I41" s="12">
        <v>0</v>
      </c>
      <c r="J41" s="12">
        <v>0</v>
      </c>
      <c r="K41" s="13" t="str">
        <f t="shared" si="8"/>
        <v>Twitter for Android</v>
      </c>
      <c r="L41" s="12">
        <v>4650</v>
      </c>
      <c r="M41" s="12">
        <v>4774</v>
      </c>
      <c r="N41" s="12">
        <v>9</v>
      </c>
      <c r="O41" s="14"/>
      <c r="P41" s="6">
        <v>42818.633599537032</v>
      </c>
      <c r="Q41" s="15" t="s">
        <v>197</v>
      </c>
      <c r="R41" s="17" t="s">
        <v>198</v>
      </c>
      <c r="S41" s="11"/>
      <c r="T41" s="11"/>
      <c r="U41" s="10" t="str">
        <f>HYPERLINK("https://pbs.twimg.com/profile_images/937615481602789376/OBa7YPsM.jpg","View")</f>
        <v>View</v>
      </c>
    </row>
    <row r="42" spans="1:21" ht="20.399999999999999">
      <c r="A42" s="6">
        <v>43442.64634259259</v>
      </c>
      <c r="B42" s="7" t="str">
        <f>HYPERLINK("https://twitter.com/SpainItalyPI","@SpainItalyPI")</f>
        <v>@SpainItalyPI</v>
      </c>
      <c r="C42" s="8" t="s">
        <v>199</v>
      </c>
      <c r="D42" s="9" t="s">
        <v>200</v>
      </c>
      <c r="E42" s="10" t="str">
        <f>HYPERLINK("https://twitter.com/SpainItalyPI/status/1071411760698134528","1071411760698134528")</f>
        <v>1071411760698134528</v>
      </c>
      <c r="F42" s="16" t="s">
        <v>201</v>
      </c>
      <c r="G42" s="11"/>
      <c r="H42" s="11"/>
      <c r="I42" s="12">
        <v>0</v>
      </c>
      <c r="J42" s="12">
        <v>0</v>
      </c>
      <c r="K42" s="13" t="str">
        <f>HYPERLINK("https://www.google.com/","Google")</f>
        <v>Google</v>
      </c>
      <c r="L42" s="12">
        <v>261</v>
      </c>
      <c r="M42" s="12">
        <v>591</v>
      </c>
      <c r="N42" s="12">
        <v>2</v>
      </c>
      <c r="O42" s="14"/>
      <c r="P42" s="6">
        <v>41962.461643518516</v>
      </c>
      <c r="Q42" s="15" t="s">
        <v>202</v>
      </c>
      <c r="R42" s="17" t="s">
        <v>203</v>
      </c>
      <c r="S42" s="16" t="s">
        <v>204</v>
      </c>
      <c r="T42" s="11"/>
      <c r="U42" s="10" t="str">
        <f>HYPERLINK("https://pbs.twimg.com/profile_images/1042710645664309248/QJ8kCzpw.jpg","View")</f>
        <v>View</v>
      </c>
    </row>
    <row r="43" spans="1:21" ht="51">
      <c r="A43" s="6">
        <v>43442.635868055557</v>
      </c>
      <c r="B43" s="7" t="str">
        <f>HYPERLINK("https://twitter.com/doguionrego","@doguionrego")</f>
        <v>@doguionrego</v>
      </c>
      <c r="C43" s="8" t="s">
        <v>194</v>
      </c>
      <c r="D43" s="9" t="s">
        <v>205</v>
      </c>
      <c r="E43" s="10" t="str">
        <f>HYPERLINK("https://twitter.com/doguionrego/status/1071407967700955136","1071407967700955136")</f>
        <v>1071407967700955136</v>
      </c>
      <c r="F43" s="16" t="s">
        <v>206</v>
      </c>
      <c r="G43" s="11"/>
      <c r="H43" s="11"/>
      <c r="I43" s="12">
        <v>0</v>
      </c>
      <c r="J43" s="12">
        <v>0</v>
      </c>
      <c r="K43" s="13" t="str">
        <f>HYPERLINK("http://twitter.com/download/android","Twitter for Android")</f>
        <v>Twitter for Android</v>
      </c>
      <c r="L43" s="12">
        <v>4650</v>
      </c>
      <c r="M43" s="12">
        <v>4774</v>
      </c>
      <c r="N43" s="12">
        <v>9</v>
      </c>
      <c r="O43" s="14"/>
      <c r="P43" s="6">
        <v>42818.633599537032</v>
      </c>
      <c r="Q43" s="15" t="s">
        <v>197</v>
      </c>
      <c r="R43" s="17" t="s">
        <v>198</v>
      </c>
      <c r="S43" s="11"/>
      <c r="T43" s="11"/>
      <c r="U43" s="10" t="str">
        <f>HYPERLINK("https://pbs.twimg.com/profile_images/937615481602789376/OBa7YPsM.jpg","View")</f>
        <v>View</v>
      </c>
    </row>
    <row r="44" spans="1:21" ht="51">
      <c r="A44" s="6">
        <v>43442.635416666672</v>
      </c>
      <c r="B44" s="7" t="str">
        <f>HYPERLINK("https://twitter.com/indpcom","@indpcom")</f>
        <v>@indpcom</v>
      </c>
      <c r="C44" s="8" t="s">
        <v>207</v>
      </c>
      <c r="D44" s="9" t="s">
        <v>208</v>
      </c>
      <c r="E44" s="10" t="str">
        <f>HYPERLINK("https://twitter.com/indpcom/status/1071407802172661760","1071407802172661760")</f>
        <v>1071407802172661760</v>
      </c>
      <c r="F44" s="16" t="s">
        <v>209</v>
      </c>
      <c r="G44" s="11"/>
      <c r="H44" s="11"/>
      <c r="I44" s="12">
        <v>1</v>
      </c>
      <c r="J44" s="12">
        <v>2</v>
      </c>
      <c r="K44" s="13" t="str">
        <f>HYPERLINK("https://about.twitter.com/products/tweetdeck","TweetDeck")</f>
        <v>TweetDeck</v>
      </c>
      <c r="L44" s="12">
        <v>59371</v>
      </c>
      <c r="M44" s="12">
        <v>1310</v>
      </c>
      <c r="N44" s="12">
        <v>1116</v>
      </c>
      <c r="O44" s="23" t="s">
        <v>89</v>
      </c>
      <c r="P44" s="6">
        <v>42537.702719907407</v>
      </c>
      <c r="Q44" s="15" t="s">
        <v>185</v>
      </c>
      <c r="R44" s="17" t="s">
        <v>210</v>
      </c>
      <c r="S44" s="16" t="s">
        <v>211</v>
      </c>
      <c r="T44" s="11"/>
      <c r="U44" s="10" t="str">
        <f>HYPERLINK("https://pbs.twimg.com/profile_images/773807977069420544/o4tNI4zQ.jpg","View")</f>
        <v>View</v>
      </c>
    </row>
    <row r="45" spans="1:21" ht="40.799999999999997">
      <c r="A45" s="6">
        <v>43442.63318287037</v>
      </c>
      <c r="B45" s="7" t="str">
        <f>HYPERLINK("https://twitter.com/cnestevez","@cnestevez")</f>
        <v>@cnestevez</v>
      </c>
      <c r="C45" s="8" t="s">
        <v>212</v>
      </c>
      <c r="D45" s="9" t="s">
        <v>213</v>
      </c>
      <c r="E45" s="10" t="str">
        <f>HYPERLINK("https://twitter.com/cnestevez/status/1071406992093339648","1071406992093339648")</f>
        <v>1071406992093339648</v>
      </c>
      <c r="F45" s="11"/>
      <c r="G45" s="11"/>
      <c r="H45" s="11"/>
      <c r="I45" s="12">
        <v>0</v>
      </c>
      <c r="J45" s="12">
        <v>0</v>
      </c>
      <c r="K45" s="13" t="str">
        <f>HYPERLINK("http://twitter.com/#!/download/ipad","Twitter for iPad")</f>
        <v>Twitter for iPad</v>
      </c>
      <c r="L45" s="12">
        <v>19</v>
      </c>
      <c r="M45" s="12">
        <v>45</v>
      </c>
      <c r="N45" s="12">
        <v>0</v>
      </c>
      <c r="O45" s="14"/>
      <c r="P45" s="6">
        <v>41029.030578703707</v>
      </c>
      <c r="Q45" s="11"/>
      <c r="R45" s="18"/>
      <c r="S45" s="11"/>
      <c r="T45" s="11"/>
      <c r="U45" s="10" t="str">
        <f>HYPERLINK("https://pbs.twimg.com/profile_images/958046110211330049/0ElJJ9nt.jpg","View")</f>
        <v>View</v>
      </c>
    </row>
    <row r="46" spans="1:21" ht="40.799999999999997">
      <c r="A46" s="6">
        <v>43442.631921296299</v>
      </c>
      <c r="B46" s="7" t="str">
        <f>HYPERLINK("https://twitter.com/Fernand93775634","@Fernand93775634")</f>
        <v>@Fernand93775634</v>
      </c>
      <c r="C46" s="8" t="s">
        <v>214</v>
      </c>
      <c r="D46" s="9" t="s">
        <v>215</v>
      </c>
      <c r="E46" s="10" t="str">
        <f>HYPERLINK("https://twitter.com/Fernand93775634/status/1071406534117244928","1071406534117244928")</f>
        <v>1071406534117244928</v>
      </c>
      <c r="F46" s="16" t="s">
        <v>216</v>
      </c>
      <c r="G46" s="11"/>
      <c r="H46" s="11"/>
      <c r="I46" s="12">
        <v>0</v>
      </c>
      <c r="J46" s="12">
        <v>1</v>
      </c>
      <c r="K46" s="13" t="str">
        <f t="shared" ref="K46:K48" si="9">HYPERLINK("http://twitter.com/download/android","Twitter for Android")</f>
        <v>Twitter for Android</v>
      </c>
      <c r="L46" s="12">
        <v>815</v>
      </c>
      <c r="M46" s="12">
        <v>1151</v>
      </c>
      <c r="N46" s="12">
        <v>3</v>
      </c>
      <c r="O46" s="14"/>
      <c r="P46" s="6">
        <v>42999.692280092597</v>
      </c>
      <c r="Q46" s="15" t="s">
        <v>197</v>
      </c>
      <c r="R46" s="18"/>
      <c r="S46" s="11"/>
      <c r="T46" s="11"/>
      <c r="U46" s="10" t="str">
        <f>HYPERLINK("https://pbs.twimg.com/profile_images/1005223861103874050/zFTg1Ik1.jpg","View")</f>
        <v>View</v>
      </c>
    </row>
    <row r="47" spans="1:21" ht="61.2">
      <c r="A47" s="6">
        <v>43442.63118055556</v>
      </c>
      <c r="B47" s="7" t="str">
        <f t="shared" ref="B47:B48" si="10">HYPERLINK("https://twitter.com/pepecabo","@pepecabo")</f>
        <v>@pepecabo</v>
      </c>
      <c r="C47" s="8" t="s">
        <v>217</v>
      </c>
      <c r="D47" s="9" t="s">
        <v>218</v>
      </c>
      <c r="E47" s="10" t="str">
        <f>HYPERLINK("https://twitter.com/pepecabo/status/1071406268634591232","1071406268634591232")</f>
        <v>1071406268634591232</v>
      </c>
      <c r="F47" s="15" t="s">
        <v>219</v>
      </c>
      <c r="G47" s="11"/>
      <c r="H47" s="11"/>
      <c r="I47" s="12">
        <v>0</v>
      </c>
      <c r="J47" s="12">
        <v>0</v>
      </c>
      <c r="K47" s="13" t="str">
        <f t="shared" si="9"/>
        <v>Twitter for Android</v>
      </c>
      <c r="L47" s="12">
        <v>2138</v>
      </c>
      <c r="M47" s="12">
        <v>1822</v>
      </c>
      <c r="N47" s="12">
        <v>73</v>
      </c>
      <c r="O47" s="14"/>
      <c r="P47" s="6">
        <v>41863.749930555554</v>
      </c>
      <c r="Q47" s="11"/>
      <c r="R47" s="17" t="s">
        <v>220</v>
      </c>
      <c r="S47" s="11"/>
      <c r="T47" s="11"/>
      <c r="U47" s="10" t="str">
        <f t="shared" ref="U47:U48" si="11">HYPERLINK("https://pbs.twimg.com/profile_images/828921457094848515/m6fFp1ck.jpg","View")</f>
        <v>View</v>
      </c>
    </row>
    <row r="48" spans="1:21" ht="40.799999999999997">
      <c r="A48" s="6">
        <v>43442.629826388889</v>
      </c>
      <c r="B48" s="7" t="str">
        <f t="shared" si="10"/>
        <v>@pepecabo</v>
      </c>
      <c r="C48" s="8" t="s">
        <v>217</v>
      </c>
      <c r="D48" s="9" t="s">
        <v>221</v>
      </c>
      <c r="E48" s="10" t="str">
        <f>HYPERLINK("https://twitter.com/pepecabo/status/1071405777649364993","1071405777649364993")</f>
        <v>1071405777649364993</v>
      </c>
      <c r="F48" s="16" t="s">
        <v>222</v>
      </c>
      <c r="G48" s="11"/>
      <c r="H48" s="11"/>
      <c r="I48" s="12">
        <v>0</v>
      </c>
      <c r="J48" s="12">
        <v>0</v>
      </c>
      <c r="K48" s="13" t="str">
        <f t="shared" si="9"/>
        <v>Twitter for Android</v>
      </c>
      <c r="L48" s="12">
        <v>2138</v>
      </c>
      <c r="M48" s="12">
        <v>1822</v>
      </c>
      <c r="N48" s="12">
        <v>73</v>
      </c>
      <c r="O48" s="14"/>
      <c r="P48" s="6">
        <v>41863.749930555554</v>
      </c>
      <c r="Q48" s="11"/>
      <c r="R48" s="17" t="s">
        <v>220</v>
      </c>
      <c r="S48" s="11"/>
      <c r="T48" s="11"/>
      <c r="U48" s="10" t="str">
        <f t="shared" si="11"/>
        <v>View</v>
      </c>
    </row>
    <row r="49" spans="1:21" ht="51">
      <c r="A49" s="6">
        <v>43442.626388888893</v>
      </c>
      <c r="B49" s="7" t="str">
        <f t="shared" ref="B49:B50" si="12">HYPERLINK("https://twitter.com/bitMomentum","@bitMomentum")</f>
        <v>@bitMomentum</v>
      </c>
      <c r="C49" s="8" t="s">
        <v>82</v>
      </c>
      <c r="D49" s="9" t="s">
        <v>223</v>
      </c>
      <c r="E49" s="10" t="str">
        <f>HYPERLINK("https://twitter.com/bitMomentum/status/1071404529311248387","1071404529311248387")</f>
        <v>1071404529311248387</v>
      </c>
      <c r="F49" s="11"/>
      <c r="G49" s="11"/>
      <c r="H49" s="11"/>
      <c r="I49" s="12">
        <v>0</v>
      </c>
      <c r="J49" s="12">
        <v>0</v>
      </c>
      <c r="K49" s="13" t="str">
        <f t="shared" ref="K49:K50" si="13">HYPERLINK("http://www.bitmomentum.com","bitMomentum Bot")</f>
        <v>bitMomentum Bot</v>
      </c>
      <c r="L49" s="12">
        <v>10253</v>
      </c>
      <c r="M49" s="12">
        <v>1059</v>
      </c>
      <c r="N49" s="12">
        <v>263</v>
      </c>
      <c r="O49" s="14"/>
      <c r="P49" s="6">
        <v>41608.667511574073</v>
      </c>
      <c r="Q49" s="11"/>
      <c r="R49" s="17" t="s">
        <v>84</v>
      </c>
      <c r="S49" s="16" t="s">
        <v>85</v>
      </c>
      <c r="T49" s="11"/>
      <c r="U49" s="10" t="str">
        <f t="shared" ref="U49:U50" si="14">HYPERLINK("https://pbs.twimg.com/profile_images/378800000862185241/20ij2H3u.png","View")</f>
        <v>View</v>
      </c>
    </row>
    <row r="50" spans="1:21" ht="51">
      <c r="A50" s="6">
        <v>43442.625694444447</v>
      </c>
      <c r="B50" s="7" t="str">
        <f t="shared" si="12"/>
        <v>@bitMomentum</v>
      </c>
      <c r="C50" s="8" t="s">
        <v>82</v>
      </c>
      <c r="D50" s="9" t="s">
        <v>224</v>
      </c>
      <c r="E50" s="10" t="str">
        <f>HYPERLINK("https://twitter.com/bitMomentum/status/1071404277615259649","1071404277615259649")</f>
        <v>1071404277615259649</v>
      </c>
      <c r="F50" s="11"/>
      <c r="G50" s="11"/>
      <c r="H50" s="11"/>
      <c r="I50" s="12">
        <v>0</v>
      </c>
      <c r="J50" s="12">
        <v>0</v>
      </c>
      <c r="K50" s="13" t="str">
        <f t="shared" si="13"/>
        <v>bitMomentum Bot</v>
      </c>
      <c r="L50" s="12">
        <v>10253</v>
      </c>
      <c r="M50" s="12">
        <v>1059</v>
      </c>
      <c r="N50" s="12">
        <v>263</v>
      </c>
      <c r="O50" s="14"/>
      <c r="P50" s="6">
        <v>41608.667511574073</v>
      </c>
      <c r="Q50" s="11"/>
      <c r="R50" s="17" t="s">
        <v>84</v>
      </c>
      <c r="S50" s="16" t="s">
        <v>85</v>
      </c>
      <c r="T50" s="11"/>
      <c r="U50" s="10" t="str">
        <f t="shared" si="14"/>
        <v>View</v>
      </c>
    </row>
    <row r="51" spans="1:21" ht="40.799999999999997">
      <c r="A51" s="6">
        <v>43442.625462962962</v>
      </c>
      <c r="B51" s="7" t="str">
        <f>HYPERLINK("https://twitter.com/pelirroja003","@pelirroja003")</f>
        <v>@pelirroja003</v>
      </c>
      <c r="C51" s="8" t="s">
        <v>225</v>
      </c>
      <c r="D51" s="9" t="s">
        <v>226</v>
      </c>
      <c r="E51" s="10" t="str">
        <f>HYPERLINK("https://twitter.com/pelirroja003/status/1071404196686151681","1071404196686151681")</f>
        <v>1071404196686151681</v>
      </c>
      <c r="F51" s="16" t="s">
        <v>227</v>
      </c>
      <c r="G51" s="16" t="s">
        <v>228</v>
      </c>
      <c r="H51" s="11"/>
      <c r="I51" s="12">
        <v>0</v>
      </c>
      <c r="J51" s="12">
        <v>0</v>
      </c>
      <c r="K51" s="13" t="str">
        <f>HYPERLINK("https://mobile.twitter.com","Twitter Lite")</f>
        <v>Twitter Lite</v>
      </c>
      <c r="L51" s="12">
        <v>280</v>
      </c>
      <c r="M51" s="12">
        <v>80</v>
      </c>
      <c r="N51" s="12">
        <v>1</v>
      </c>
      <c r="O51" s="14"/>
      <c r="P51" s="6">
        <v>42642.873171296298</v>
      </c>
      <c r="Q51" s="15" t="s">
        <v>229</v>
      </c>
      <c r="R51" s="17" t="s">
        <v>230</v>
      </c>
      <c r="S51" s="11"/>
      <c r="T51" s="11"/>
      <c r="U51" s="10" t="str">
        <f>HYPERLINK("https://pbs.twimg.com/profile_images/809953082809389056/iNGNmGs8.jpg","View")</f>
        <v>View</v>
      </c>
    </row>
    <row r="52" spans="1:21" ht="91.8">
      <c r="A52" s="6">
        <v>43442.623958333337</v>
      </c>
      <c r="B52" s="7" t="str">
        <f>HYPERLINK("https://twitter.com/doguionrego","@doguionrego")</f>
        <v>@doguionrego</v>
      </c>
      <c r="C52" s="8" t="s">
        <v>194</v>
      </c>
      <c r="D52" s="9" t="s">
        <v>231</v>
      </c>
      <c r="E52" s="10" t="str">
        <f>HYPERLINK("https://twitter.com/doguionrego/status/1071403649778229248","1071403649778229248")</f>
        <v>1071403649778229248</v>
      </c>
      <c r="F52" s="16" t="s">
        <v>232</v>
      </c>
      <c r="G52" s="11"/>
      <c r="H52" s="11"/>
      <c r="I52" s="12">
        <v>0</v>
      </c>
      <c r="J52" s="12">
        <v>1</v>
      </c>
      <c r="K52" s="13" t="str">
        <f t="shared" ref="K52:K54" si="15">HYPERLINK("http://twitter.com/download/android","Twitter for Android")</f>
        <v>Twitter for Android</v>
      </c>
      <c r="L52" s="12">
        <v>4650</v>
      </c>
      <c r="M52" s="12">
        <v>4774</v>
      </c>
      <c r="N52" s="12">
        <v>9</v>
      </c>
      <c r="O52" s="14"/>
      <c r="P52" s="6">
        <v>42818.633599537032</v>
      </c>
      <c r="Q52" s="15" t="s">
        <v>197</v>
      </c>
      <c r="R52" s="17" t="s">
        <v>198</v>
      </c>
      <c r="S52" s="11"/>
      <c r="T52" s="11"/>
      <c r="U52" s="10" t="str">
        <f>HYPERLINK("https://pbs.twimg.com/profile_images/937615481602789376/OBa7YPsM.jpg","View")</f>
        <v>View</v>
      </c>
    </row>
    <row r="53" spans="1:21" ht="102">
      <c r="A53" s="6">
        <v>43442.619699074072</v>
      </c>
      <c r="B53" s="7" t="str">
        <f>HYPERLINK("https://twitter.com/UlisesGamez10","@UlisesGamez10")</f>
        <v>@UlisesGamez10</v>
      </c>
      <c r="C53" s="8" t="s">
        <v>233</v>
      </c>
      <c r="D53" s="9" t="s">
        <v>234</v>
      </c>
      <c r="E53" s="10" t="str">
        <f>HYPERLINK("https://twitter.com/UlisesGamez10/status/1071402106760904704","1071402106760904704")</f>
        <v>1071402106760904704</v>
      </c>
      <c r="F53" s="15" t="s">
        <v>235</v>
      </c>
      <c r="G53" s="11"/>
      <c r="H53" s="11"/>
      <c r="I53" s="12">
        <v>1</v>
      </c>
      <c r="J53" s="12">
        <v>1</v>
      </c>
      <c r="K53" s="13" t="str">
        <f t="shared" si="15"/>
        <v>Twitter for Android</v>
      </c>
      <c r="L53" s="12">
        <v>1184</v>
      </c>
      <c r="M53" s="12">
        <v>5002</v>
      </c>
      <c r="N53" s="12">
        <v>0</v>
      </c>
      <c r="O53" s="14"/>
      <c r="P53" s="6">
        <v>43190.59783564815</v>
      </c>
      <c r="Q53" s="15" t="s">
        <v>236</v>
      </c>
      <c r="R53" s="17" t="s">
        <v>237</v>
      </c>
      <c r="S53" s="11"/>
      <c r="T53" s="11"/>
      <c r="U53" s="10" t="str">
        <f>HYPERLINK("https://pbs.twimg.com/profile_images/1068881444196499456/MCgxp2WR.jpg","View")</f>
        <v>View</v>
      </c>
    </row>
    <row r="54" spans="1:21" ht="40.799999999999997">
      <c r="A54" s="6">
        <v>43442.614594907413</v>
      </c>
      <c r="B54" s="7" t="str">
        <f>HYPERLINK("https://twitter.com/joseRMCE","@joseRMCE")</f>
        <v>@joseRMCE</v>
      </c>
      <c r="C54" s="8" t="s">
        <v>238</v>
      </c>
      <c r="D54" s="9" t="s">
        <v>239</v>
      </c>
      <c r="E54" s="10" t="str">
        <f>HYPERLINK("https://twitter.com/joseRMCE/status/1071400255458066433","1071400255458066433")</f>
        <v>1071400255458066433</v>
      </c>
      <c r="F54" s="11"/>
      <c r="G54" s="11"/>
      <c r="H54" s="11"/>
      <c r="I54" s="12">
        <v>0</v>
      </c>
      <c r="J54" s="12">
        <v>0</v>
      </c>
      <c r="K54" s="13" t="str">
        <f t="shared" si="15"/>
        <v>Twitter for Android</v>
      </c>
      <c r="L54" s="12">
        <v>247</v>
      </c>
      <c r="M54" s="12">
        <v>365</v>
      </c>
      <c r="N54" s="12">
        <v>3</v>
      </c>
      <c r="O54" s="14"/>
      <c r="P54" s="6">
        <v>42900.386817129634</v>
      </c>
      <c r="Q54" s="15" t="s">
        <v>240</v>
      </c>
      <c r="R54" s="17" t="s">
        <v>241</v>
      </c>
      <c r="S54" s="11"/>
      <c r="T54" s="11"/>
      <c r="U54" s="10" t="str">
        <f>HYPERLINK("https://pbs.twimg.com/profile_images/1067543052774969344/bDgjM43p.jpg","View")</f>
        <v>View</v>
      </c>
    </row>
    <row r="55" spans="1:21" ht="51">
      <c r="A55" s="6">
        <v>43442.611296296294</v>
      </c>
      <c r="B55" s="7" t="str">
        <f>HYPERLINK("https://twitter.com/FactCheckCV","@FactCheckCV")</f>
        <v>@FactCheckCV</v>
      </c>
      <c r="C55" s="8" t="s">
        <v>242</v>
      </c>
      <c r="D55" s="9" t="s">
        <v>243</v>
      </c>
      <c r="E55" s="10" t="str">
        <f>HYPERLINK("https://twitter.com/FactCheckCV/status/1071399060530176001","1071399060530176001")</f>
        <v>1071399060530176001</v>
      </c>
      <c r="F55" s="11"/>
      <c r="G55" s="16" t="s">
        <v>244</v>
      </c>
      <c r="H55" s="11"/>
      <c r="I55" s="12">
        <v>50</v>
      </c>
      <c r="J55" s="12">
        <v>49</v>
      </c>
      <c r="K55" s="13" t="str">
        <f>HYPERLINK("http://twitter.com/download/iphone","Twitter for iPhone")</f>
        <v>Twitter for iPhone</v>
      </c>
      <c r="L55" s="12">
        <v>311</v>
      </c>
      <c r="M55" s="12">
        <v>19</v>
      </c>
      <c r="N55" s="12">
        <v>0</v>
      </c>
      <c r="O55" s="14"/>
      <c r="P55" s="6">
        <v>42881.515104166669</v>
      </c>
      <c r="Q55" s="11"/>
      <c r="R55" s="17" t="s">
        <v>245</v>
      </c>
      <c r="S55" s="11"/>
      <c r="T55" s="11"/>
      <c r="U55" s="10" t="str">
        <f>HYPERLINK("https://pbs.twimg.com/profile_images/1071167589550825472/ENfTu7vb.jpg","View")</f>
        <v>View</v>
      </c>
    </row>
    <row r="56" spans="1:21" ht="30.6">
      <c r="A56" s="6">
        <v>43442.61010416667</v>
      </c>
      <c r="B56" s="7" t="str">
        <f>HYPERLINK("https://twitter.com/ElAngelFacha","@ElAngelFacha")</f>
        <v>@ElAngelFacha</v>
      </c>
      <c r="C56" s="8" t="s">
        <v>246</v>
      </c>
      <c r="D56" s="9" t="s">
        <v>247</v>
      </c>
      <c r="E56" s="10" t="str">
        <f>HYPERLINK("https://twitter.com/ElAngelFacha/status/1071398628697223168","1071398628697223168")</f>
        <v>1071398628697223168</v>
      </c>
      <c r="F56" s="16" t="s">
        <v>248</v>
      </c>
      <c r="G56" s="11"/>
      <c r="H56" s="11"/>
      <c r="I56" s="12">
        <v>20</v>
      </c>
      <c r="J56" s="12">
        <v>15</v>
      </c>
      <c r="K56" s="13" t="str">
        <f>HYPERLINK("http://twitter.com","Twitter Web Client")</f>
        <v>Twitter Web Client</v>
      </c>
      <c r="L56" s="12">
        <v>1472</v>
      </c>
      <c r="M56" s="12">
        <v>2060</v>
      </c>
      <c r="N56" s="12">
        <v>4</v>
      </c>
      <c r="O56" s="14"/>
      <c r="P56" s="6">
        <v>42923.928784722222</v>
      </c>
      <c r="Q56" s="15" t="s">
        <v>249</v>
      </c>
      <c r="R56" s="17" t="s">
        <v>250</v>
      </c>
      <c r="S56" s="11"/>
      <c r="T56" s="11"/>
      <c r="U56" s="10" t="str">
        <f>HYPERLINK("https://pbs.twimg.com/profile_images/1068670609935208450/c84QvuV4.jpg","View")</f>
        <v>View</v>
      </c>
    </row>
    <row r="57" spans="1:21" ht="40.799999999999997">
      <c r="A57" s="6">
        <v>43442.607951388884</v>
      </c>
      <c r="B57" s="7" t="str">
        <f>HYPERLINK("https://twitter.com/Gata1_C","@Gata1_C")</f>
        <v>@Gata1_C</v>
      </c>
      <c r="C57" s="8" t="s">
        <v>251</v>
      </c>
      <c r="D57" s="9" t="s">
        <v>252</v>
      </c>
      <c r="E57" s="10" t="str">
        <f>HYPERLINK("https://twitter.com/Gata1_C/status/1071397847571066880","1071397847571066880")</f>
        <v>1071397847571066880</v>
      </c>
      <c r="F57" s="11"/>
      <c r="G57" s="11"/>
      <c r="H57" s="11"/>
      <c r="I57" s="12">
        <v>1</v>
      </c>
      <c r="J57" s="12">
        <v>3</v>
      </c>
      <c r="K57" s="13" t="str">
        <f t="shared" ref="K57:K58" si="16">HYPERLINK("http://twitter.com/download/android","Twitter for Android")</f>
        <v>Twitter for Android</v>
      </c>
      <c r="L57" s="12">
        <v>3876</v>
      </c>
      <c r="M57" s="12">
        <v>5000</v>
      </c>
      <c r="N57" s="12">
        <v>8</v>
      </c>
      <c r="O57" s="14"/>
      <c r="P57" s="6">
        <v>41393.042939814812</v>
      </c>
      <c r="Q57" s="15" t="s">
        <v>197</v>
      </c>
      <c r="R57" s="17" t="s">
        <v>253</v>
      </c>
      <c r="S57" s="11"/>
      <c r="T57" s="11"/>
      <c r="U57" s="10" t="str">
        <f>HYPERLINK("https://pbs.twimg.com/profile_images/1064357848287715333/GYr5W4W2.jpg","View")</f>
        <v>View</v>
      </c>
    </row>
    <row r="58" spans="1:21" ht="61.2">
      <c r="A58" s="6">
        <v>43442.603645833333</v>
      </c>
      <c r="B58" s="7" t="str">
        <f>HYPERLINK("https://twitter.com/opinioner26","@opinioner26")</f>
        <v>@opinioner26</v>
      </c>
      <c r="C58" s="8" t="s">
        <v>254</v>
      </c>
      <c r="D58" s="9" t="s">
        <v>255</v>
      </c>
      <c r="E58" s="10" t="str">
        <f>HYPERLINK("https://twitter.com/opinioner26/status/1071396290116927489","1071396290116927489")</f>
        <v>1071396290116927489</v>
      </c>
      <c r="F58" s="11"/>
      <c r="G58" s="16" t="s">
        <v>256</v>
      </c>
      <c r="H58" s="11"/>
      <c r="I58" s="12">
        <v>9</v>
      </c>
      <c r="J58" s="12">
        <v>13</v>
      </c>
      <c r="K58" s="13" t="str">
        <f t="shared" si="16"/>
        <v>Twitter for Android</v>
      </c>
      <c r="L58" s="12">
        <v>3681</v>
      </c>
      <c r="M58" s="12">
        <v>4778</v>
      </c>
      <c r="N58" s="12">
        <v>3</v>
      </c>
      <c r="O58" s="14"/>
      <c r="P58" s="6">
        <v>41342.659386574072</v>
      </c>
      <c r="Q58" s="15" t="s">
        <v>197</v>
      </c>
      <c r="R58" s="17" t="s">
        <v>257</v>
      </c>
      <c r="S58" s="11"/>
      <c r="T58" s="11"/>
      <c r="U58" s="10" t="str">
        <f>HYPERLINK("https://pbs.twimg.com/profile_images/1012273439309254662/Dhw3JHA5.jpg","View")</f>
        <v>View</v>
      </c>
    </row>
    <row r="59" spans="1:21" ht="61.2">
      <c r="A59" s="6">
        <v>43442.602094907408</v>
      </c>
      <c r="B59" s="7" t="str">
        <f>HYPERLINK("https://twitter.com/nomedesporculo1","@nomedesporculo1")</f>
        <v>@nomedesporculo1</v>
      </c>
      <c r="C59" s="8" t="s">
        <v>258</v>
      </c>
      <c r="D59" s="9" t="s">
        <v>259</v>
      </c>
      <c r="E59" s="10" t="str">
        <f>HYPERLINK("https://twitter.com/nomedesporculo1/status/1071395727920848896","1071395727920848896")</f>
        <v>1071395727920848896</v>
      </c>
      <c r="F59" s="16" t="s">
        <v>260</v>
      </c>
      <c r="G59" s="16" t="s">
        <v>261</v>
      </c>
      <c r="H59" s="11"/>
      <c r="I59" s="12">
        <v>1</v>
      </c>
      <c r="J59" s="12">
        <v>0</v>
      </c>
      <c r="K59" s="13" t="str">
        <f>HYPERLINK("http://twitter.com","Twitter Web Client")</f>
        <v>Twitter Web Client</v>
      </c>
      <c r="L59" s="12">
        <v>452</v>
      </c>
      <c r="M59" s="12">
        <v>573</v>
      </c>
      <c r="N59" s="12">
        <v>1</v>
      </c>
      <c r="O59" s="14"/>
      <c r="P59" s="6">
        <v>43229.504178240742</v>
      </c>
      <c r="Q59" s="15" t="s">
        <v>197</v>
      </c>
      <c r="R59" s="17" t="s">
        <v>262</v>
      </c>
      <c r="S59" s="11"/>
      <c r="T59" s="11"/>
      <c r="U59" s="10" t="str">
        <f>HYPERLINK("https://pbs.twimg.com/profile_images/994246645255729152/cHfn_Hjl.jpg","View")</f>
        <v>View</v>
      </c>
    </row>
    <row r="60" spans="1:21" ht="30.6">
      <c r="A60" s="6">
        <v>43442.599872685183</v>
      </c>
      <c r="B60" s="7" t="str">
        <f>HYPERLINK("https://twitter.com/camilotxo","@camilotxo")</f>
        <v>@camilotxo</v>
      </c>
      <c r="C60" s="8" t="s">
        <v>263</v>
      </c>
      <c r="D60" s="9" t="s">
        <v>264</v>
      </c>
      <c r="E60" s="10" t="str">
        <f>HYPERLINK("https://twitter.com/camilotxo/status/1071394920357945344","1071394920357945344")</f>
        <v>1071394920357945344</v>
      </c>
      <c r="F60" s="16" t="s">
        <v>265</v>
      </c>
      <c r="G60" s="11"/>
      <c r="H60" s="11"/>
      <c r="I60" s="12">
        <v>0</v>
      </c>
      <c r="J60" s="12">
        <v>1</v>
      </c>
      <c r="K60" s="13" t="str">
        <f>HYPERLINK("http://twitter.com/download/android","Twitter for Android")</f>
        <v>Twitter for Android</v>
      </c>
      <c r="L60" s="12">
        <v>73</v>
      </c>
      <c r="M60" s="12">
        <v>144</v>
      </c>
      <c r="N60" s="12">
        <v>4</v>
      </c>
      <c r="O60" s="14"/>
      <c r="P60" s="6">
        <v>40922.890879629631</v>
      </c>
      <c r="Q60" s="11"/>
      <c r="R60" s="17" t="s">
        <v>266</v>
      </c>
      <c r="S60" s="11"/>
      <c r="T60" s="11"/>
      <c r="U60" s="10" t="str">
        <f>HYPERLINK("https://pbs.twimg.com/profile_images/2364867684/9gz70F9y","View")</f>
        <v>View</v>
      </c>
    </row>
    <row r="61" spans="1:21" ht="51">
      <c r="A61" s="6">
        <v>43442.584722222222</v>
      </c>
      <c r="B61" s="7" t="str">
        <f>HYPERLINK("https://twitter.com/bitMomentum","@bitMomentum")</f>
        <v>@bitMomentum</v>
      </c>
      <c r="C61" s="8" t="s">
        <v>82</v>
      </c>
      <c r="D61" s="9" t="s">
        <v>267</v>
      </c>
      <c r="E61" s="10" t="str">
        <f>HYPERLINK("https://twitter.com/bitMomentum/status/1071389429875511298","1071389429875511298")</f>
        <v>1071389429875511298</v>
      </c>
      <c r="F61" s="11"/>
      <c r="G61" s="11"/>
      <c r="H61" s="11"/>
      <c r="I61" s="12">
        <v>0</v>
      </c>
      <c r="J61" s="12">
        <v>0</v>
      </c>
      <c r="K61" s="13" t="str">
        <f>HYPERLINK("http://www.bitmomentum.com","bitMomentum Bot")</f>
        <v>bitMomentum Bot</v>
      </c>
      <c r="L61" s="12">
        <v>10253</v>
      </c>
      <c r="M61" s="12">
        <v>1059</v>
      </c>
      <c r="N61" s="12">
        <v>263</v>
      </c>
      <c r="O61" s="14"/>
      <c r="P61" s="6">
        <v>41608.667511574073</v>
      </c>
      <c r="Q61" s="11"/>
      <c r="R61" s="17" t="s">
        <v>84</v>
      </c>
      <c r="S61" s="16" t="s">
        <v>85</v>
      </c>
      <c r="T61" s="11"/>
      <c r="U61" s="10" t="str">
        <f>HYPERLINK("https://pbs.twimg.com/profile_images/378800000862185241/20ij2H3u.png","View")</f>
        <v>View</v>
      </c>
    </row>
    <row r="62" spans="1:21" ht="61.2">
      <c r="A62" s="6">
        <v>43442.584479166668</v>
      </c>
      <c r="B62" s="7" t="str">
        <f>HYPERLINK("https://twitter.com/jollscomputer","@jollscomputer")</f>
        <v>@jollscomputer</v>
      </c>
      <c r="C62" s="8" t="s">
        <v>269</v>
      </c>
      <c r="D62" s="9" t="s">
        <v>270</v>
      </c>
      <c r="E62" s="10" t="str">
        <f>HYPERLINK("https://twitter.com/jollscomputer/status/1071389345049968640","1071389345049968640")</f>
        <v>1071389345049968640</v>
      </c>
      <c r="F62" s="11"/>
      <c r="G62" s="11"/>
      <c r="H62" s="11"/>
      <c r="I62" s="12">
        <v>1</v>
      </c>
      <c r="J62" s="12">
        <v>2</v>
      </c>
      <c r="K62" s="13" t="str">
        <f>HYPERLINK("http://twitter.com/download/android","Twitter for Android")</f>
        <v>Twitter for Android</v>
      </c>
      <c r="L62" s="12">
        <v>483</v>
      </c>
      <c r="M62" s="12">
        <v>674</v>
      </c>
      <c r="N62" s="12">
        <v>7</v>
      </c>
      <c r="O62" s="14"/>
      <c r="P62" s="6">
        <v>40433.888645833329</v>
      </c>
      <c r="Q62" s="15" t="s">
        <v>197</v>
      </c>
      <c r="R62" s="17" t="s">
        <v>271</v>
      </c>
      <c r="S62" s="16" t="s">
        <v>272</v>
      </c>
      <c r="T62" s="11"/>
      <c r="U62" s="10" t="str">
        <f>HYPERLINK("https://pbs.twimg.com/profile_images/1043505530252283908/7Sl5ua8b.jpg","View")</f>
        <v>View</v>
      </c>
    </row>
    <row r="63" spans="1:21" ht="51">
      <c r="A63" s="6">
        <v>43442.584027777775</v>
      </c>
      <c r="B63" s="7" t="str">
        <f>HYPERLINK("https://twitter.com/bitMomentum","@bitMomentum")</f>
        <v>@bitMomentum</v>
      </c>
      <c r="C63" s="8" t="s">
        <v>82</v>
      </c>
      <c r="D63" s="9" t="s">
        <v>273</v>
      </c>
      <c r="E63" s="10" t="str">
        <f>HYPERLINK("https://twitter.com/bitMomentum/status/1071389178133393408","1071389178133393408")</f>
        <v>1071389178133393408</v>
      </c>
      <c r="F63" s="11"/>
      <c r="G63" s="11"/>
      <c r="H63" s="11"/>
      <c r="I63" s="12">
        <v>0</v>
      </c>
      <c r="J63" s="12">
        <v>0</v>
      </c>
      <c r="K63" s="13" t="str">
        <f>HYPERLINK("http://www.bitmomentum.com","bitMomentum Bot")</f>
        <v>bitMomentum Bot</v>
      </c>
      <c r="L63" s="12">
        <v>10253</v>
      </c>
      <c r="M63" s="12">
        <v>1059</v>
      </c>
      <c r="N63" s="12">
        <v>263</v>
      </c>
      <c r="O63" s="14"/>
      <c r="P63" s="6">
        <v>41608.667511574073</v>
      </c>
      <c r="Q63" s="11"/>
      <c r="R63" s="17" t="s">
        <v>84</v>
      </c>
      <c r="S63" s="16" t="s">
        <v>85</v>
      </c>
      <c r="T63" s="11"/>
      <c r="U63" s="10" t="str">
        <f>HYPERLINK("https://pbs.twimg.com/profile_images/378800000862185241/20ij2H3u.png","View")</f>
        <v>View</v>
      </c>
    </row>
    <row r="64" spans="1:21" ht="30.6">
      <c r="A64" s="6">
        <v>43442.582395833335</v>
      </c>
      <c r="B64" s="7" t="str">
        <f>HYPERLINK("https://twitter.com/VoxLerida","@VoxLerida")</f>
        <v>@VoxLerida</v>
      </c>
      <c r="C64" s="8" t="s">
        <v>276</v>
      </c>
      <c r="D64" s="9" t="s">
        <v>277</v>
      </c>
      <c r="E64" s="10" t="str">
        <f>HYPERLINK("https://twitter.com/VoxLerida/status/1071388589718671361","1071388589718671361")</f>
        <v>1071388589718671361</v>
      </c>
      <c r="F64" s="16" t="s">
        <v>278</v>
      </c>
      <c r="G64" s="11"/>
      <c r="H64" s="11"/>
      <c r="I64" s="12">
        <v>0</v>
      </c>
      <c r="J64" s="12">
        <v>0</v>
      </c>
      <c r="K64" s="13" t="str">
        <f>HYPERLINK("https://mobile.twitter.com","Twitter Lite")</f>
        <v>Twitter Lite</v>
      </c>
      <c r="L64" s="12">
        <v>2177</v>
      </c>
      <c r="M64" s="12">
        <v>2517</v>
      </c>
      <c r="N64" s="12">
        <v>17</v>
      </c>
      <c r="O64" s="14"/>
      <c r="P64" s="6">
        <v>42086.878125000003</v>
      </c>
      <c r="Q64" s="15" t="s">
        <v>279</v>
      </c>
      <c r="R64" s="17" t="s">
        <v>280</v>
      </c>
      <c r="S64" s="16" t="s">
        <v>281</v>
      </c>
      <c r="T64" s="11"/>
      <c r="U64" s="10" t="str">
        <f>HYPERLINK("https://pbs.twimg.com/profile_images/681453671343898624/16YS7zIE.jpg","View")</f>
        <v>View</v>
      </c>
    </row>
    <row r="65" spans="1:21" ht="40.799999999999997">
      <c r="A65" s="6">
        <v>43442.572754629626</v>
      </c>
      <c r="B65" s="7" t="str">
        <f>HYPERLINK("https://twitter.com/RosaKempin","@RosaKempin")</f>
        <v>@RosaKempin</v>
      </c>
      <c r="C65" s="8" t="s">
        <v>282</v>
      </c>
      <c r="D65" s="9" t="s">
        <v>283</v>
      </c>
      <c r="E65" s="10" t="str">
        <f>HYPERLINK("https://twitter.com/RosaKempin/status/1071385093523021824","1071385093523021824")</f>
        <v>1071385093523021824</v>
      </c>
      <c r="F65" s="16" t="s">
        <v>284</v>
      </c>
      <c r="G65" s="11"/>
      <c r="H65" s="11"/>
      <c r="I65" s="12">
        <v>0</v>
      </c>
      <c r="J65" s="12">
        <v>0</v>
      </c>
      <c r="K65" s="13" t="str">
        <f>HYPERLINK("http://twitter.com","Twitter Web Client")</f>
        <v>Twitter Web Client</v>
      </c>
      <c r="L65" s="12">
        <v>3561</v>
      </c>
      <c r="M65" s="12">
        <v>3056</v>
      </c>
      <c r="N65" s="12">
        <v>80</v>
      </c>
      <c r="O65" s="14"/>
      <c r="P65" s="6">
        <v>42207.715740740736</v>
      </c>
      <c r="Q65" s="11"/>
      <c r="R65" s="17" t="s">
        <v>285</v>
      </c>
      <c r="S65" s="11"/>
      <c r="T65" s="11"/>
      <c r="U65" s="10" t="str">
        <f>HYPERLINK("https://pbs.twimg.com/profile_images/856886083371642880/he4aTDl3.jpg","View")</f>
        <v>View</v>
      </c>
    </row>
    <row r="66" spans="1:21" ht="40.799999999999997">
      <c r="A66" s="6">
        <v>43442.56658564815</v>
      </c>
      <c r="B66" s="7" t="str">
        <f>HYPERLINK("https://twitter.com/RubenDatito","@RubenDatito")</f>
        <v>@RubenDatito</v>
      </c>
      <c r="C66" s="8" t="s">
        <v>286</v>
      </c>
      <c r="D66" s="9" t="s">
        <v>287</v>
      </c>
      <c r="E66" s="10" t="str">
        <f>HYPERLINK("https://twitter.com/RubenDatito/status/1071382857078181889","1071382857078181889")</f>
        <v>1071382857078181889</v>
      </c>
      <c r="F66" s="15" t="s">
        <v>288</v>
      </c>
      <c r="G66" s="11"/>
      <c r="H66" s="11"/>
      <c r="I66" s="12">
        <v>0</v>
      </c>
      <c r="J66" s="12">
        <v>0</v>
      </c>
      <c r="K66" s="13" t="str">
        <f t="shared" ref="K66:K67" si="17">HYPERLINK("http://twitter.com/download/android","Twitter for Android")</f>
        <v>Twitter for Android</v>
      </c>
      <c r="L66" s="12">
        <v>2253</v>
      </c>
      <c r="M66" s="12">
        <v>2128</v>
      </c>
      <c r="N66" s="12">
        <v>73</v>
      </c>
      <c r="O66" s="14"/>
      <c r="P66" s="6">
        <v>41695.001180555555</v>
      </c>
      <c r="Q66" s="11"/>
      <c r="R66" s="18"/>
      <c r="S66" s="16" t="s">
        <v>289</v>
      </c>
      <c r="T66" s="11"/>
      <c r="U66" s="10" t="str">
        <f>HYPERLINK("https://pbs.twimg.com/profile_images/439933611790172160/c9Be7bNY.jpeg","View")</f>
        <v>View</v>
      </c>
    </row>
    <row r="67" spans="1:21" ht="51">
      <c r="A67" s="6">
        <v>43442.566342592589</v>
      </c>
      <c r="B67" s="7" t="str">
        <f>HYPERLINK("https://twitter.com/irene_llorente_","@irene_llorente_")</f>
        <v>@irene_llorente_</v>
      </c>
      <c r="C67" s="8" t="s">
        <v>290</v>
      </c>
      <c r="D67" s="9" t="s">
        <v>291</v>
      </c>
      <c r="E67" s="10" t="str">
        <f>HYPERLINK("https://twitter.com/irene_llorente_/status/1071382770797166592","1071382770797166592")</f>
        <v>1071382770797166592</v>
      </c>
      <c r="F67" s="11"/>
      <c r="G67" s="11"/>
      <c r="H67" s="11"/>
      <c r="I67" s="12">
        <v>0</v>
      </c>
      <c r="J67" s="12">
        <v>4</v>
      </c>
      <c r="K67" s="13" t="str">
        <f t="shared" si="17"/>
        <v>Twitter for Android</v>
      </c>
      <c r="L67" s="12">
        <v>233</v>
      </c>
      <c r="M67" s="12">
        <v>270</v>
      </c>
      <c r="N67" s="12">
        <v>0</v>
      </c>
      <c r="O67" s="14"/>
      <c r="P67" s="6">
        <v>43436.448912037042</v>
      </c>
      <c r="Q67" s="11"/>
      <c r="R67" s="17" t="s">
        <v>292</v>
      </c>
      <c r="S67" s="11"/>
      <c r="T67" s="11"/>
      <c r="U67" s="10" t="str">
        <f>HYPERLINK("https://pbs.twimg.com/profile_images/1069171211828109313/bxBr6BQb.jpg","View")</f>
        <v>View</v>
      </c>
    </row>
    <row r="68" spans="1:21" ht="51">
      <c r="A68" s="6">
        <v>43442.565925925926</v>
      </c>
      <c r="B68" s="7" t="str">
        <f>HYPERLINK("https://twitter.com/TransUPM","@TransUPM")</f>
        <v>@TransUPM</v>
      </c>
      <c r="C68" s="8" t="s">
        <v>293</v>
      </c>
      <c r="D68" s="9" t="s">
        <v>294</v>
      </c>
      <c r="E68" s="10" t="str">
        <f>HYPERLINK("https://twitter.com/TransUPM/status/1071382618573340672","1071382618573340672")</f>
        <v>1071382618573340672</v>
      </c>
      <c r="F68" s="15" t="s">
        <v>295</v>
      </c>
      <c r="G68" s="11"/>
      <c r="H68" s="11"/>
      <c r="I68" s="12">
        <v>0</v>
      </c>
      <c r="J68" s="12">
        <v>0</v>
      </c>
      <c r="K68" s="13" t="str">
        <f>HYPERLINK("http://twitter.com/#!/download/ipad","Twitter for iPad")</f>
        <v>Twitter for iPad</v>
      </c>
      <c r="L68" s="12">
        <v>742</v>
      </c>
      <c r="M68" s="12">
        <v>748</v>
      </c>
      <c r="N68" s="12">
        <v>25</v>
      </c>
      <c r="O68" s="14"/>
      <c r="P68" s="6">
        <v>40990.723449074074</v>
      </c>
      <c r="Q68" s="15" t="s">
        <v>296</v>
      </c>
      <c r="R68" s="17" t="s">
        <v>297</v>
      </c>
      <c r="S68" s="11"/>
      <c r="T68" s="11"/>
      <c r="U68" s="10" t="str">
        <f>HYPERLINK("https://pbs.twimg.com/profile_images/991114054189109250/998-LfOp.jpg","View")</f>
        <v>View</v>
      </c>
    </row>
    <row r="69" spans="1:21" ht="51">
      <c r="A69" s="6">
        <v>43442.558611111112</v>
      </c>
      <c r="B69" s="7" t="str">
        <f>HYPERLINK("https://twitter.com/pipio44","@pipio44")</f>
        <v>@pipio44</v>
      </c>
      <c r="C69" s="8" t="s">
        <v>298</v>
      </c>
      <c r="D69" s="9" t="s">
        <v>299</v>
      </c>
      <c r="E69" s="10" t="str">
        <f>HYPERLINK("https://twitter.com/pipio44/status/1071379969790615552","1071379969790615552")</f>
        <v>1071379969790615552</v>
      </c>
      <c r="F69" s="15" t="s">
        <v>300</v>
      </c>
      <c r="G69" s="16" t="s">
        <v>301</v>
      </c>
      <c r="H69" s="11"/>
      <c r="I69" s="12">
        <v>0</v>
      </c>
      <c r="J69" s="12">
        <v>1</v>
      </c>
      <c r="K69" s="13" t="str">
        <f t="shared" ref="K69:K70" si="18">HYPERLINK("http://twitter.com/download/iphone","Twitter for iPhone")</f>
        <v>Twitter for iPhone</v>
      </c>
      <c r="L69" s="12">
        <v>745</v>
      </c>
      <c r="M69" s="12">
        <v>540</v>
      </c>
      <c r="N69" s="12">
        <v>28</v>
      </c>
      <c r="O69" s="14"/>
      <c r="P69" s="6">
        <v>40771.038275462961</v>
      </c>
      <c r="Q69" s="11"/>
      <c r="R69" s="17" t="s">
        <v>302</v>
      </c>
      <c r="S69" s="11"/>
      <c r="T69" s="11"/>
      <c r="U69" s="10" t="str">
        <f>HYPERLINK("https://pbs.twimg.com/profile_images/1052141810347364353/8JWxa8CG.jpg","View")</f>
        <v>View</v>
      </c>
    </row>
    <row r="70" spans="1:21" ht="30.6">
      <c r="A70" s="6">
        <v>43442.558310185181</v>
      </c>
      <c r="B70" s="7" t="str">
        <f>HYPERLINK("https://twitter.com/ssoler01","@ssoler01")</f>
        <v>@ssoler01</v>
      </c>
      <c r="C70" s="8" t="s">
        <v>303</v>
      </c>
      <c r="D70" s="9" t="s">
        <v>304</v>
      </c>
      <c r="E70" s="10" t="str">
        <f>HYPERLINK("https://twitter.com/ssoler01/status/1071379860927455234","1071379860927455234")</f>
        <v>1071379860927455234</v>
      </c>
      <c r="F70" s="11"/>
      <c r="G70" s="11"/>
      <c r="H70" s="11"/>
      <c r="I70" s="12">
        <v>0</v>
      </c>
      <c r="J70" s="12">
        <v>0</v>
      </c>
      <c r="K70" s="13" t="str">
        <f t="shared" si="18"/>
        <v>Twitter for iPhone</v>
      </c>
      <c r="L70" s="12">
        <v>281</v>
      </c>
      <c r="M70" s="12">
        <v>447</v>
      </c>
      <c r="N70" s="12">
        <v>8</v>
      </c>
      <c r="O70" s="14"/>
      <c r="P70" s="6">
        <v>40108.407407407409</v>
      </c>
      <c r="Q70" s="15" t="s">
        <v>305</v>
      </c>
      <c r="R70" s="17" t="s">
        <v>306</v>
      </c>
      <c r="S70" s="11"/>
      <c r="T70" s="11"/>
      <c r="U70" s="10" t="str">
        <f>HYPERLINK("https://pbs.twimg.com/profile_images/413281369708843008/D0RcO9tt.jpeg","View")</f>
        <v>View</v>
      </c>
    </row>
    <row r="71" spans="1:21" ht="71.400000000000006">
      <c r="A71" s="6">
        <v>43442.558263888888</v>
      </c>
      <c r="B71" s="7" t="str">
        <f>HYPERLINK("https://twitter.com/doguionrego","@doguionrego")</f>
        <v>@doguionrego</v>
      </c>
      <c r="C71" s="8" t="s">
        <v>194</v>
      </c>
      <c r="D71" s="9" t="s">
        <v>307</v>
      </c>
      <c r="E71" s="10" t="str">
        <f>HYPERLINK("https://twitter.com/doguionrego/status/1071379844745826304","1071379844745826304")</f>
        <v>1071379844745826304</v>
      </c>
      <c r="F71" s="15" t="s">
        <v>308</v>
      </c>
      <c r="G71" s="11"/>
      <c r="H71" s="11"/>
      <c r="I71" s="12">
        <v>0</v>
      </c>
      <c r="J71" s="12">
        <v>1</v>
      </c>
      <c r="K71" s="13" t="str">
        <f>HYPERLINK("http://twitter.com/download/android","Twitter for Android")</f>
        <v>Twitter for Android</v>
      </c>
      <c r="L71" s="12">
        <v>4650</v>
      </c>
      <c r="M71" s="12">
        <v>4774</v>
      </c>
      <c r="N71" s="12">
        <v>9</v>
      </c>
      <c r="O71" s="14"/>
      <c r="P71" s="6">
        <v>42818.633599537032</v>
      </c>
      <c r="Q71" s="15" t="s">
        <v>197</v>
      </c>
      <c r="R71" s="17" t="s">
        <v>198</v>
      </c>
      <c r="S71" s="11"/>
      <c r="T71" s="11"/>
      <c r="U71" s="10" t="str">
        <f>HYPERLINK("https://pbs.twimg.com/profile_images/937615481602789376/OBa7YPsM.jpg","View")</f>
        <v>View</v>
      </c>
    </row>
    <row r="72" spans="1:21" ht="102">
      <c r="A72" s="6">
        <v>43442.557222222225</v>
      </c>
      <c r="B72" s="7" t="str">
        <f>HYPERLINK("https://twitter.com/Antonio29407099","@Antonio29407099")</f>
        <v>@Antonio29407099</v>
      </c>
      <c r="C72" s="8" t="s">
        <v>309</v>
      </c>
      <c r="D72" s="9" t="s">
        <v>310</v>
      </c>
      <c r="E72" s="10" t="str">
        <f>HYPERLINK("https://twitter.com/Antonio29407099/status/1071379467329814529","1071379467329814529")</f>
        <v>1071379467329814529</v>
      </c>
      <c r="F72" s="15" t="s">
        <v>311</v>
      </c>
      <c r="G72" s="11"/>
      <c r="H72" s="11"/>
      <c r="I72" s="12">
        <v>0</v>
      </c>
      <c r="J72" s="12">
        <v>1</v>
      </c>
      <c r="K72" s="13" t="str">
        <f t="shared" ref="K72:K73" si="19">HYPERLINK("http://twitter.com","Twitter Web Client")</f>
        <v>Twitter Web Client</v>
      </c>
      <c r="L72" s="12">
        <v>421</v>
      </c>
      <c r="M72" s="12">
        <v>423</v>
      </c>
      <c r="N72" s="12">
        <v>8</v>
      </c>
      <c r="O72" s="14"/>
      <c r="P72" s="6">
        <v>40986.32503472222</v>
      </c>
      <c r="Q72" s="15" t="s">
        <v>312</v>
      </c>
      <c r="R72" s="17" t="s">
        <v>313</v>
      </c>
      <c r="S72" s="11"/>
      <c r="T72" s="11"/>
      <c r="U72" s="10" t="str">
        <f>HYPERLINK("https://pbs.twimg.com/profile_images/1071355442616561664/eeWCMpph.jpg","View")</f>
        <v>View</v>
      </c>
    </row>
    <row r="73" spans="1:21" ht="40.799999999999997">
      <c r="A73" s="6">
        <v>43442.556724537033</v>
      </c>
      <c r="B73" s="7" t="str">
        <f>HYPERLINK("https://twitter.com/llerices","@llerices")</f>
        <v>@llerices</v>
      </c>
      <c r="C73" s="8" t="s">
        <v>314</v>
      </c>
      <c r="D73" s="9" t="s">
        <v>315</v>
      </c>
      <c r="E73" s="10" t="str">
        <f>HYPERLINK("https://twitter.com/llerices/status/1071379285863292928","1071379285863292928")</f>
        <v>1071379285863292928</v>
      </c>
      <c r="F73" s="16" t="s">
        <v>316</v>
      </c>
      <c r="G73" s="11"/>
      <c r="H73" s="11"/>
      <c r="I73" s="12">
        <v>0</v>
      </c>
      <c r="J73" s="12">
        <v>0</v>
      </c>
      <c r="K73" s="13" t="str">
        <f t="shared" si="19"/>
        <v>Twitter Web Client</v>
      </c>
      <c r="L73" s="12">
        <v>647</v>
      </c>
      <c r="M73" s="12">
        <v>685</v>
      </c>
      <c r="N73" s="12">
        <v>12</v>
      </c>
      <c r="O73" s="14"/>
      <c r="P73" s="6">
        <v>40444.951342592591</v>
      </c>
      <c r="Q73" s="15" t="s">
        <v>317</v>
      </c>
      <c r="R73" s="17" t="s">
        <v>318</v>
      </c>
      <c r="S73" s="11"/>
      <c r="T73" s="11"/>
      <c r="U73" s="10" t="str">
        <f>HYPERLINK("https://pbs.twimg.com/profile_images/670899507400482816/kPZQ71Og.jpg","View")</f>
        <v>View</v>
      </c>
    </row>
    <row r="74" spans="1:21" ht="51">
      <c r="A74" s="6">
        <v>43442.554293981477</v>
      </c>
      <c r="B74" s="7" t="str">
        <f>HYPERLINK("https://twitter.com/Tonirm90","@Tonirm90")</f>
        <v>@Tonirm90</v>
      </c>
      <c r="C74" s="8" t="s">
        <v>319</v>
      </c>
      <c r="D74" s="9" t="s">
        <v>320</v>
      </c>
      <c r="E74" s="10" t="str">
        <f>HYPERLINK("https://twitter.com/Tonirm90/status/1071378403624919042","1071378403624919042")</f>
        <v>1071378403624919042</v>
      </c>
      <c r="F74" s="11"/>
      <c r="G74" s="11"/>
      <c r="H74" s="11"/>
      <c r="I74" s="12">
        <v>0</v>
      </c>
      <c r="J74" s="12">
        <v>0</v>
      </c>
      <c r="K74" s="13" t="str">
        <f t="shared" ref="K74:K75" si="20">HYPERLINK("http://twitter.com/download/android","Twitter for Android")</f>
        <v>Twitter for Android</v>
      </c>
      <c r="L74" s="12">
        <v>538</v>
      </c>
      <c r="M74" s="12">
        <v>1606</v>
      </c>
      <c r="N74" s="12">
        <v>3</v>
      </c>
      <c r="O74" s="14"/>
      <c r="P74" s="6">
        <v>40817.923206018517</v>
      </c>
      <c r="Q74" s="15" t="s">
        <v>321</v>
      </c>
      <c r="R74" s="17" t="s">
        <v>322</v>
      </c>
      <c r="S74" s="11"/>
      <c r="T74" s="11"/>
      <c r="U74" s="10" t="str">
        <f>HYPERLINK("https://pbs.twimg.com/profile_images/1071013725463871488/sN9R2G3o.jpg","View")</f>
        <v>View</v>
      </c>
    </row>
    <row r="75" spans="1:21" ht="51">
      <c r="A75" s="6">
        <v>43442.55168981482</v>
      </c>
      <c r="B75" s="7" t="str">
        <f>HYPERLINK("https://twitter.com/ROGER_DE_LAURIA","@ROGER_DE_LAURIA")</f>
        <v>@ROGER_DE_LAURIA</v>
      </c>
      <c r="C75" s="8" t="s">
        <v>323</v>
      </c>
      <c r="D75" s="9" t="s">
        <v>324</v>
      </c>
      <c r="E75" s="10" t="str">
        <f>HYPERLINK("https://twitter.com/ROGER_DE_LAURIA/status/1071377460539875328","1071377460539875328")</f>
        <v>1071377460539875328</v>
      </c>
      <c r="F75" s="16" t="s">
        <v>325</v>
      </c>
      <c r="G75" s="11"/>
      <c r="H75" s="11"/>
      <c r="I75" s="12">
        <v>0</v>
      </c>
      <c r="J75" s="12">
        <v>1</v>
      </c>
      <c r="K75" s="13" t="str">
        <f t="shared" si="20"/>
        <v>Twitter for Android</v>
      </c>
      <c r="L75" s="12">
        <v>176</v>
      </c>
      <c r="M75" s="12">
        <v>227</v>
      </c>
      <c r="N75" s="12">
        <v>6</v>
      </c>
      <c r="O75" s="14"/>
      <c r="P75" s="6">
        <v>40813.996759259258</v>
      </c>
      <c r="Q75" s="15" t="s">
        <v>326</v>
      </c>
      <c r="R75" s="17" t="s">
        <v>327</v>
      </c>
      <c r="S75" s="11"/>
      <c r="T75" s="11"/>
      <c r="U75" s="10" t="str">
        <f>HYPERLINK("https://pbs.twimg.com/profile_images/578194720695922688/j2jmlFnC.jpeg","View")</f>
        <v>View</v>
      </c>
    </row>
    <row r="76" spans="1:21" ht="71.400000000000006">
      <c r="A76" s="6">
        <v>43442.549317129626</v>
      </c>
      <c r="B76" s="7" t="str">
        <f>HYPERLINK("https://twitter.com/teletubismo","@teletubismo")</f>
        <v>@teletubismo</v>
      </c>
      <c r="C76" s="8" t="s">
        <v>328</v>
      </c>
      <c r="D76" s="9" t="s">
        <v>329</v>
      </c>
      <c r="E76" s="10" t="str">
        <f>HYPERLINK("https://twitter.com/teletubismo/status/1071376600636231680","1071376600636231680")</f>
        <v>1071376600636231680</v>
      </c>
      <c r="F76" s="11"/>
      <c r="G76" s="11"/>
      <c r="H76" s="11"/>
      <c r="I76" s="12">
        <v>0</v>
      </c>
      <c r="J76" s="12">
        <v>0</v>
      </c>
      <c r="K76" s="13" t="str">
        <f>HYPERLINK("http://twitter.com","Twitter Web Client")</f>
        <v>Twitter Web Client</v>
      </c>
      <c r="L76" s="12">
        <v>19</v>
      </c>
      <c r="M76" s="12">
        <v>76</v>
      </c>
      <c r="N76" s="12">
        <v>0</v>
      </c>
      <c r="O76" s="14"/>
      <c r="P76" s="6">
        <v>43248.06695601852</v>
      </c>
      <c r="Q76" s="15" t="s">
        <v>330</v>
      </c>
      <c r="R76" s="17" t="s">
        <v>331</v>
      </c>
      <c r="S76" s="11"/>
      <c r="T76" s="11"/>
      <c r="U76" s="10" t="str">
        <f>HYPERLINK("https://pbs.twimg.com/profile_images/1001171846501490688/lvFrwUb6.jpg","View")</f>
        <v>View</v>
      </c>
    </row>
    <row r="77" spans="1:21" ht="20.399999999999999">
      <c r="A77" s="6">
        <v>43442.549050925925</v>
      </c>
      <c r="B77" s="7" t="str">
        <f>HYPERLINK("https://twitter.com/FELIPEMIGATITO","@FELIPEMIGATITO")</f>
        <v>@FELIPEMIGATITO</v>
      </c>
      <c r="C77" s="8" t="s">
        <v>332</v>
      </c>
      <c r="D77" s="9" t="s">
        <v>333</v>
      </c>
      <c r="E77" s="10" t="str">
        <f>HYPERLINK("https://twitter.com/FELIPEMIGATITO/status/1071376502888038400","1071376502888038400")</f>
        <v>1071376502888038400</v>
      </c>
      <c r="F77" s="11"/>
      <c r="G77" s="16" t="s">
        <v>334</v>
      </c>
      <c r="H77" s="11"/>
      <c r="I77" s="12">
        <v>2</v>
      </c>
      <c r="J77" s="12">
        <v>1</v>
      </c>
      <c r="K77" s="13" t="str">
        <f t="shared" ref="K77:K80" si="21">HYPERLINK("http://twitter.com/download/android","Twitter for Android")</f>
        <v>Twitter for Android</v>
      </c>
      <c r="L77" s="12">
        <v>868</v>
      </c>
      <c r="M77" s="12">
        <v>1195</v>
      </c>
      <c r="N77" s="12">
        <v>13</v>
      </c>
      <c r="O77" s="14"/>
      <c r="P77" s="6">
        <v>40505.556562500002</v>
      </c>
      <c r="Q77" s="15" t="s">
        <v>335</v>
      </c>
      <c r="R77" s="18"/>
      <c r="S77" s="11"/>
      <c r="T77" s="11"/>
      <c r="U77" s="10" t="str">
        <f>HYPERLINK("https://pbs.twimg.com/profile_images/568679483327414272/8Yri8ktG.jpeg","View")</f>
        <v>View</v>
      </c>
    </row>
    <row r="78" spans="1:21" ht="51">
      <c r="A78" s="6">
        <v>43442.54855324074</v>
      </c>
      <c r="B78" s="7" t="str">
        <f>HYPERLINK("https://twitter.com/ROGER_DE_LAURIA","@ROGER_DE_LAURIA")</f>
        <v>@ROGER_DE_LAURIA</v>
      </c>
      <c r="C78" s="8" t="s">
        <v>323</v>
      </c>
      <c r="D78" s="9" t="s">
        <v>336</v>
      </c>
      <c r="E78" s="10" t="str">
        <f>HYPERLINK("https://twitter.com/ROGER_DE_LAURIA/status/1071376322553933824","1071376322553933824")</f>
        <v>1071376322553933824</v>
      </c>
      <c r="F78" s="16" t="s">
        <v>337</v>
      </c>
      <c r="G78" s="11"/>
      <c r="H78" s="11"/>
      <c r="I78" s="12">
        <v>0</v>
      </c>
      <c r="J78" s="12">
        <v>0</v>
      </c>
      <c r="K78" s="13" t="str">
        <f t="shared" si="21"/>
        <v>Twitter for Android</v>
      </c>
      <c r="L78" s="12">
        <v>176</v>
      </c>
      <c r="M78" s="12">
        <v>227</v>
      </c>
      <c r="N78" s="12">
        <v>6</v>
      </c>
      <c r="O78" s="14"/>
      <c r="P78" s="6">
        <v>40813.996759259258</v>
      </c>
      <c r="Q78" s="15" t="s">
        <v>326</v>
      </c>
      <c r="R78" s="17" t="s">
        <v>327</v>
      </c>
      <c r="S78" s="11"/>
      <c r="T78" s="11"/>
      <c r="U78" s="10" t="str">
        <f>HYPERLINK("https://pbs.twimg.com/profile_images/578194720695922688/j2jmlFnC.jpeg","View")</f>
        <v>View</v>
      </c>
    </row>
    <row r="79" spans="1:21" ht="51">
      <c r="A79" s="6">
        <v>43442.548449074078</v>
      </c>
      <c r="B79" s="7" t="str">
        <f>HYPERLINK("https://twitter.com/psolidaridad","@psolidaridad")</f>
        <v>@psolidaridad</v>
      </c>
      <c r="C79" s="8" t="s">
        <v>159</v>
      </c>
      <c r="D79" s="9" t="s">
        <v>338</v>
      </c>
      <c r="E79" s="10" t="str">
        <f>HYPERLINK("https://twitter.com/psolidaridad/status/1071376287632121857","1071376287632121857")</f>
        <v>1071376287632121857</v>
      </c>
      <c r="F79" s="16" t="s">
        <v>339</v>
      </c>
      <c r="G79" s="11"/>
      <c r="H79" s="11"/>
      <c r="I79" s="12">
        <v>1</v>
      </c>
      <c r="J79" s="12">
        <v>1</v>
      </c>
      <c r="K79" s="13" t="str">
        <f t="shared" si="21"/>
        <v>Twitter for Android</v>
      </c>
      <c r="L79" s="12">
        <v>1623</v>
      </c>
      <c r="M79" s="12">
        <v>4841</v>
      </c>
      <c r="N79" s="12">
        <v>1</v>
      </c>
      <c r="O79" s="14"/>
      <c r="P79" s="6">
        <v>41803.502372685187</v>
      </c>
      <c r="Q79" s="11"/>
      <c r="R79" s="17" t="s">
        <v>162</v>
      </c>
      <c r="S79" s="11"/>
      <c r="T79" s="11"/>
      <c r="U79" s="10" t="str">
        <f>HYPERLINK("https://pbs.twimg.com/profile_images/1030394358397317120/oQ0F2vnz.jpg","View")</f>
        <v>View</v>
      </c>
    </row>
    <row r="80" spans="1:21" ht="30.6">
      <c r="A80" s="6">
        <v>43442.546307870369</v>
      </c>
      <c r="B80" s="7" t="str">
        <f>HYPERLINK("https://twitter.com/Gabrielle_esp1","@Gabrielle_esp1")</f>
        <v>@Gabrielle_esp1</v>
      </c>
      <c r="C80" s="8" t="s">
        <v>340</v>
      </c>
      <c r="D80" s="9" t="s">
        <v>341</v>
      </c>
      <c r="E80" s="10" t="str">
        <f>HYPERLINK("https://twitter.com/Gabrielle_esp1/status/1071375512302440448","1071375512302440448")</f>
        <v>1071375512302440448</v>
      </c>
      <c r="F80" s="11"/>
      <c r="G80" s="11"/>
      <c r="H80" s="11"/>
      <c r="I80" s="12">
        <v>2</v>
      </c>
      <c r="J80" s="12">
        <v>2</v>
      </c>
      <c r="K80" s="13" t="str">
        <f t="shared" si="21"/>
        <v>Twitter for Android</v>
      </c>
      <c r="L80" s="12">
        <v>506</v>
      </c>
      <c r="M80" s="12">
        <v>389</v>
      </c>
      <c r="N80" s="12">
        <v>1</v>
      </c>
      <c r="O80" s="14"/>
      <c r="P80" s="6">
        <v>41337.491493055553</v>
      </c>
      <c r="Q80" s="11"/>
      <c r="R80" s="17" t="s">
        <v>342</v>
      </c>
      <c r="S80" s="11"/>
      <c r="T80" s="11"/>
      <c r="U80" s="10" t="str">
        <f>HYPERLINK("https://pbs.twimg.com/profile_images/1063111978821083136/i5dJX6hZ.jpg","View")</f>
        <v>View</v>
      </c>
    </row>
    <row r="81" spans="1:21" ht="51">
      <c r="A81" s="6">
        <v>43442.54305555555</v>
      </c>
      <c r="B81" s="7" t="str">
        <f t="shared" ref="B81:B82" si="22">HYPERLINK("https://twitter.com/bitMomentum","@bitMomentum")</f>
        <v>@bitMomentum</v>
      </c>
      <c r="C81" s="8" t="s">
        <v>82</v>
      </c>
      <c r="D81" s="9" t="s">
        <v>343</v>
      </c>
      <c r="E81" s="10" t="str">
        <f>HYPERLINK("https://twitter.com/bitMomentum/status/1071374330070790145","1071374330070790145")</f>
        <v>1071374330070790145</v>
      </c>
      <c r="F81" s="11"/>
      <c r="G81" s="11"/>
      <c r="H81" s="11"/>
      <c r="I81" s="12">
        <v>0</v>
      </c>
      <c r="J81" s="12">
        <v>0</v>
      </c>
      <c r="K81" s="13" t="str">
        <f t="shared" ref="K81:K82" si="23">HYPERLINK("http://www.bitmomentum.com","bitMomentum Bot")</f>
        <v>bitMomentum Bot</v>
      </c>
      <c r="L81" s="12">
        <v>10253</v>
      </c>
      <c r="M81" s="12">
        <v>1059</v>
      </c>
      <c r="N81" s="12">
        <v>263</v>
      </c>
      <c r="O81" s="14"/>
      <c r="P81" s="6">
        <v>41608.667511574073</v>
      </c>
      <c r="Q81" s="11"/>
      <c r="R81" s="17" t="s">
        <v>84</v>
      </c>
      <c r="S81" s="16" t="s">
        <v>85</v>
      </c>
      <c r="T81" s="11"/>
      <c r="U81" s="10" t="str">
        <f t="shared" ref="U81:U82" si="24">HYPERLINK("https://pbs.twimg.com/profile_images/378800000862185241/20ij2H3u.png","View")</f>
        <v>View</v>
      </c>
    </row>
    <row r="82" spans="1:21" ht="51">
      <c r="A82" s="6">
        <v>43442.542361111111</v>
      </c>
      <c r="B82" s="7" t="str">
        <f t="shared" si="22"/>
        <v>@bitMomentum</v>
      </c>
      <c r="C82" s="8" t="s">
        <v>82</v>
      </c>
      <c r="D82" s="9" t="s">
        <v>344</v>
      </c>
      <c r="E82" s="10" t="str">
        <f>HYPERLINK("https://twitter.com/bitMomentum/status/1071374078693511168","1071374078693511168")</f>
        <v>1071374078693511168</v>
      </c>
      <c r="F82" s="11"/>
      <c r="G82" s="11"/>
      <c r="H82" s="11"/>
      <c r="I82" s="12">
        <v>0</v>
      </c>
      <c r="J82" s="12">
        <v>1</v>
      </c>
      <c r="K82" s="13" t="str">
        <f t="shared" si="23"/>
        <v>bitMomentum Bot</v>
      </c>
      <c r="L82" s="12">
        <v>10253</v>
      </c>
      <c r="M82" s="12">
        <v>1059</v>
      </c>
      <c r="N82" s="12">
        <v>263</v>
      </c>
      <c r="O82" s="14"/>
      <c r="P82" s="6">
        <v>41608.667511574073</v>
      </c>
      <c r="Q82" s="11"/>
      <c r="R82" s="17" t="s">
        <v>84</v>
      </c>
      <c r="S82" s="16" t="s">
        <v>85</v>
      </c>
      <c r="T82" s="11"/>
      <c r="U82" s="10" t="str">
        <f t="shared" si="24"/>
        <v>View</v>
      </c>
    </row>
    <row r="83" spans="1:21" ht="40.799999999999997">
      <c r="A83" s="6">
        <v>43442.541597222225</v>
      </c>
      <c r="B83" s="7" t="str">
        <f>HYPERLINK("https://twitter.com/amorillahidalgo","@amorillahidalgo")</f>
        <v>@amorillahidalgo</v>
      </c>
      <c r="C83" s="8" t="s">
        <v>345</v>
      </c>
      <c r="D83" s="9" t="s">
        <v>346</v>
      </c>
      <c r="E83" s="10" t="str">
        <f>HYPERLINK("https://twitter.com/amorillahidalgo/status/1071373803085799424","1071373803085799424")</f>
        <v>1071373803085799424</v>
      </c>
      <c r="F83" s="16" t="s">
        <v>347</v>
      </c>
      <c r="G83" s="11"/>
      <c r="H83" s="11"/>
      <c r="I83" s="12">
        <v>0</v>
      </c>
      <c r="J83" s="12">
        <v>0</v>
      </c>
      <c r="K83" s="13" t="str">
        <f>HYPERLINK("https://mobile.twitter.com","Twitter Lite")</f>
        <v>Twitter Lite</v>
      </c>
      <c r="L83" s="12">
        <v>102</v>
      </c>
      <c r="M83" s="12">
        <v>259</v>
      </c>
      <c r="N83" s="12">
        <v>0</v>
      </c>
      <c r="O83" s="14"/>
      <c r="P83" s="6">
        <v>43112.465347222227</v>
      </c>
      <c r="Q83" s="15" t="s">
        <v>348</v>
      </c>
      <c r="R83" s="17" t="s">
        <v>349</v>
      </c>
      <c r="S83" s="11"/>
      <c r="T83" s="11"/>
      <c r="U83" s="10" t="str">
        <f>HYPERLINK("https://pbs.twimg.com/profile_images/1030911885632258048/Sx0_Nxl9.jpg","View")</f>
        <v>View</v>
      </c>
    </row>
    <row r="84" spans="1:21" ht="81.599999999999994">
      <c r="A84" s="6">
        <v>43442.537349537037</v>
      </c>
      <c r="B84" s="7" t="str">
        <f>HYPERLINK("https://twitter.com/luisapaz77","@luisapaz77")</f>
        <v>@luisapaz77</v>
      </c>
      <c r="C84" s="8" t="s">
        <v>350</v>
      </c>
      <c r="D84" s="9" t="s">
        <v>351</v>
      </c>
      <c r="E84" s="10" t="str">
        <f>HYPERLINK("https://twitter.com/luisapaz77/status/1071372265500086272","1071372265500086272")</f>
        <v>1071372265500086272</v>
      </c>
      <c r="F84" s="15" t="s">
        <v>352</v>
      </c>
      <c r="G84" s="11"/>
      <c r="H84" s="11"/>
      <c r="I84" s="12">
        <v>0</v>
      </c>
      <c r="J84" s="12">
        <v>1</v>
      </c>
      <c r="K84" s="13" t="str">
        <f t="shared" ref="K84:K85" si="25">HYPERLINK("http://twitter.com","Twitter Web Client")</f>
        <v>Twitter Web Client</v>
      </c>
      <c r="L84" s="12">
        <v>18</v>
      </c>
      <c r="M84" s="12">
        <v>114</v>
      </c>
      <c r="N84" s="12">
        <v>0</v>
      </c>
      <c r="O84" s="14"/>
      <c r="P84" s="6">
        <v>42195.005891203706</v>
      </c>
      <c r="Q84" s="11"/>
      <c r="R84" s="18"/>
      <c r="S84" s="11"/>
      <c r="T84" s="11"/>
      <c r="U84" s="10" t="str">
        <f>HYPERLINK("https://pbs.twimg.com/profile_images/619267965444354048/3gE-Oei_.jpg","View")</f>
        <v>View</v>
      </c>
    </row>
    <row r="85" spans="1:21" ht="30.6">
      <c r="A85" s="6">
        <v>43442.535532407404</v>
      </c>
      <c r="B85" s="7" t="str">
        <f>HYPERLINK("https://twitter.com/yolanda_anr1","@yolanda_anr1")</f>
        <v>@yolanda_anr1</v>
      </c>
      <c r="C85" s="8" t="s">
        <v>353</v>
      </c>
      <c r="D85" s="9" t="s">
        <v>354</v>
      </c>
      <c r="E85" s="10" t="str">
        <f>HYPERLINK("https://twitter.com/yolanda_anr1/status/1071371606709202945","1071371606709202945")</f>
        <v>1071371606709202945</v>
      </c>
      <c r="F85" s="15" t="s">
        <v>355</v>
      </c>
      <c r="G85" s="11"/>
      <c r="H85" s="11"/>
      <c r="I85" s="12">
        <v>1</v>
      </c>
      <c r="J85" s="12">
        <v>1</v>
      </c>
      <c r="K85" s="13" t="str">
        <f t="shared" si="25"/>
        <v>Twitter Web Client</v>
      </c>
      <c r="L85" s="12">
        <v>986</v>
      </c>
      <c r="M85" s="12">
        <v>382</v>
      </c>
      <c r="N85" s="12">
        <v>34</v>
      </c>
      <c r="O85" s="14"/>
      <c r="P85" s="6">
        <v>41214.841805555552</v>
      </c>
      <c r="Q85" s="11"/>
      <c r="R85" s="18"/>
      <c r="S85" s="11"/>
      <c r="T85" s="11"/>
      <c r="U85" s="10" t="str">
        <f>HYPERLINK("https://pbs.twimg.com/profile_images/700638542280597505/2dMojyWb.jpg","View")</f>
        <v>View</v>
      </c>
    </row>
    <row r="86" spans="1:21" ht="40.799999999999997">
      <c r="A86" s="6">
        <v>43442.535381944443</v>
      </c>
      <c r="B86" s="7" t="str">
        <f>HYPERLINK("https://twitter.com/HalsierX","@HalsierX")</f>
        <v>@HalsierX</v>
      </c>
      <c r="C86" s="8" t="s">
        <v>356</v>
      </c>
      <c r="D86" s="9" t="s">
        <v>357</v>
      </c>
      <c r="E86" s="10" t="str">
        <f>HYPERLINK("https://twitter.com/HalsierX/status/1071371552070004736","1071371552070004736")</f>
        <v>1071371552070004736</v>
      </c>
      <c r="F86" s="15" t="s">
        <v>358</v>
      </c>
      <c r="G86" s="11"/>
      <c r="H86" s="11"/>
      <c r="I86" s="12">
        <v>0</v>
      </c>
      <c r="J86" s="12">
        <v>0</v>
      </c>
      <c r="K86" s="13" t="str">
        <f>HYPERLINK("http://twitter.com/download/android","Twitter for Android")</f>
        <v>Twitter for Android</v>
      </c>
      <c r="L86" s="12">
        <v>61</v>
      </c>
      <c r="M86" s="12">
        <v>305</v>
      </c>
      <c r="N86" s="12">
        <v>1</v>
      </c>
      <c r="O86" s="14"/>
      <c r="P86" s="6">
        <v>43159.337013888886</v>
      </c>
      <c r="Q86" s="15" t="s">
        <v>359</v>
      </c>
      <c r="R86" s="17" t="s">
        <v>360</v>
      </c>
      <c r="S86" s="11"/>
      <c r="T86" s="11"/>
      <c r="U86" s="10" t="str">
        <f>HYPERLINK("https://pbs.twimg.com/profile_images/1063731833702096897/IX4RkEGh.jpg","View")</f>
        <v>View</v>
      </c>
    </row>
    <row r="87" spans="1:21" ht="61.2">
      <c r="A87" s="6">
        <v>43442.529942129629</v>
      </c>
      <c r="B87" s="7" t="str">
        <f>HYPERLINK("https://twitter.com/gaab75","@gaab75")</f>
        <v>@gaab75</v>
      </c>
      <c r="C87" s="8" t="s">
        <v>361</v>
      </c>
      <c r="D87" s="9" t="s">
        <v>362</v>
      </c>
      <c r="E87" s="10" t="str">
        <f>HYPERLINK("https://twitter.com/gaab75/status/1071369578935189505","1071369578935189505")</f>
        <v>1071369578935189505</v>
      </c>
      <c r="F87" s="15" t="s">
        <v>363</v>
      </c>
      <c r="G87" s="11"/>
      <c r="H87" s="11"/>
      <c r="I87" s="12">
        <v>0</v>
      </c>
      <c r="J87" s="12">
        <v>3</v>
      </c>
      <c r="K87" s="13" t="str">
        <f>HYPERLINK("http://twitter.com","Twitter Web Client")</f>
        <v>Twitter Web Client</v>
      </c>
      <c r="L87" s="12">
        <v>3602</v>
      </c>
      <c r="M87" s="12">
        <v>1550</v>
      </c>
      <c r="N87" s="12">
        <v>98</v>
      </c>
      <c r="O87" s="14"/>
      <c r="P87" s="6">
        <v>40128.955196759256</v>
      </c>
      <c r="Q87" s="15" t="s">
        <v>364</v>
      </c>
      <c r="R87" s="17" t="s">
        <v>365</v>
      </c>
      <c r="S87" s="16" t="s">
        <v>366</v>
      </c>
      <c r="T87" s="11"/>
      <c r="U87" s="10" t="str">
        <f>HYPERLINK("https://pbs.twimg.com/profile_images/958087622638948354/Nn7-v7sP.jpg","View")</f>
        <v>View</v>
      </c>
    </row>
    <row r="88" spans="1:21" ht="91.8">
      <c r="A88" s="6">
        <v>43442.52952546296</v>
      </c>
      <c r="B88" s="7" t="str">
        <f>HYPERLINK("https://twitter.com/ivanedlm","@ivanedlm")</f>
        <v>@ivanedlm</v>
      </c>
      <c r="C88" s="8" t="s">
        <v>22</v>
      </c>
      <c r="D88" s="9" t="s">
        <v>367</v>
      </c>
      <c r="E88" s="10" t="str">
        <f>HYPERLINK("https://twitter.com/ivanedlm/status/1071369430070910976","1071369430070910976")</f>
        <v>1071369430070910976</v>
      </c>
      <c r="F88" s="15" t="s">
        <v>368</v>
      </c>
      <c r="G88" s="11"/>
      <c r="H88" s="11"/>
      <c r="I88" s="12">
        <v>422</v>
      </c>
      <c r="J88" s="12">
        <v>727</v>
      </c>
      <c r="K88" s="13" t="str">
        <f t="shared" ref="K88:K89" si="26">HYPERLINK("http://twitter.com/download/iphone","Twitter for iPhone")</f>
        <v>Twitter for iPhone</v>
      </c>
      <c r="L88" s="12">
        <v>24428</v>
      </c>
      <c r="M88" s="12">
        <v>2375</v>
      </c>
      <c r="N88" s="12">
        <v>215</v>
      </c>
      <c r="O88" s="14"/>
      <c r="P88" s="6">
        <v>39984.518807870372</v>
      </c>
      <c r="Q88" s="15" t="s">
        <v>197</v>
      </c>
      <c r="R88" s="17" t="s">
        <v>369</v>
      </c>
      <c r="S88" s="11"/>
      <c r="T88" s="11"/>
      <c r="U88" s="10" t="str">
        <f>HYPERLINK("https://pbs.twimg.com/profile_images/909885302491230208/UESaRSj_.jpg","View")</f>
        <v>View</v>
      </c>
    </row>
    <row r="89" spans="1:21" ht="40.799999999999997">
      <c r="A89" s="6">
        <v>43442.527083333334</v>
      </c>
      <c r="B89" s="7" t="str">
        <f>HYPERLINK("https://twitter.com/Ernesto_smria","@Ernesto_smria")</f>
        <v>@Ernesto_smria</v>
      </c>
      <c r="C89" s="8" t="s">
        <v>370</v>
      </c>
      <c r="D89" s="9" t="s">
        <v>371</v>
      </c>
      <c r="E89" s="10" t="str">
        <f>HYPERLINK("https://twitter.com/Ernesto_smria/status/1071368541562114049","1071368541562114049")</f>
        <v>1071368541562114049</v>
      </c>
      <c r="F89" s="11"/>
      <c r="G89" s="16" t="s">
        <v>372</v>
      </c>
      <c r="H89" s="11"/>
      <c r="I89" s="12">
        <v>0</v>
      </c>
      <c r="J89" s="12">
        <v>1</v>
      </c>
      <c r="K89" s="13" t="str">
        <f t="shared" si="26"/>
        <v>Twitter for iPhone</v>
      </c>
      <c r="L89" s="12">
        <v>198</v>
      </c>
      <c r="M89" s="12">
        <v>708</v>
      </c>
      <c r="N89" s="12">
        <v>1</v>
      </c>
      <c r="O89" s="14"/>
      <c r="P89" s="6">
        <v>43176.754016203704</v>
      </c>
      <c r="Q89" s="15" t="s">
        <v>157</v>
      </c>
      <c r="R89" s="17" t="s">
        <v>373</v>
      </c>
      <c r="S89" s="11"/>
      <c r="T89" s="11"/>
      <c r="U89" s="10" t="str">
        <f>HYPERLINK("https://pbs.twimg.com/profile_images/1059909338242969605/w7JpSEuq.jpg","View")</f>
        <v>View</v>
      </c>
    </row>
    <row r="90" spans="1:21" ht="51">
      <c r="A90" s="6">
        <v>43442.521550925929</v>
      </c>
      <c r="B90" s="7" t="str">
        <f>HYPERLINK("https://twitter.com/indpcom","@indpcom")</f>
        <v>@indpcom</v>
      </c>
      <c r="C90" s="8" t="s">
        <v>207</v>
      </c>
      <c r="D90" s="9" t="s">
        <v>374</v>
      </c>
      <c r="E90" s="10" t="str">
        <f>HYPERLINK("https://twitter.com/indpcom/status/1071366536579833856","1071366536579833856")</f>
        <v>1071366536579833856</v>
      </c>
      <c r="F90" s="16" t="s">
        <v>209</v>
      </c>
      <c r="G90" s="11"/>
      <c r="H90" s="11"/>
      <c r="I90" s="12">
        <v>6</v>
      </c>
      <c r="J90" s="12">
        <v>4</v>
      </c>
      <c r="K90" s="13" t="str">
        <f>HYPERLINK("https://about.twitter.com/products/tweetdeck","TweetDeck")</f>
        <v>TweetDeck</v>
      </c>
      <c r="L90" s="12">
        <v>59371</v>
      </c>
      <c r="M90" s="12">
        <v>1310</v>
      </c>
      <c r="N90" s="12">
        <v>1116</v>
      </c>
      <c r="O90" s="23" t="s">
        <v>89</v>
      </c>
      <c r="P90" s="6">
        <v>42537.702719907407</v>
      </c>
      <c r="Q90" s="15" t="s">
        <v>185</v>
      </c>
      <c r="R90" s="17" t="s">
        <v>210</v>
      </c>
      <c r="S90" s="16" t="s">
        <v>211</v>
      </c>
      <c r="T90" s="11"/>
      <c r="U90" s="10" t="str">
        <f>HYPERLINK("https://pbs.twimg.com/profile_images/773807977069420544/o4tNI4zQ.jpg","View")</f>
        <v>View</v>
      </c>
    </row>
    <row r="91" spans="1:21" ht="40.799999999999997">
      <c r="A91" s="6">
        <v>43442.518136574072</v>
      </c>
      <c r="B91" s="7" t="str">
        <f>HYPERLINK("https://twitter.com/fco_escalona","@fco_escalona")</f>
        <v>@fco_escalona</v>
      </c>
      <c r="C91" s="8" t="s">
        <v>375</v>
      </c>
      <c r="D91" s="9" t="s">
        <v>376</v>
      </c>
      <c r="E91" s="10" t="str">
        <f>HYPERLINK("https://twitter.com/fco_escalona/status/1071365301659426816","1071365301659426816")</f>
        <v>1071365301659426816</v>
      </c>
      <c r="F91" s="11"/>
      <c r="G91" s="11"/>
      <c r="H91" s="11"/>
      <c r="I91" s="12">
        <v>0</v>
      </c>
      <c r="J91" s="12">
        <v>0</v>
      </c>
      <c r="K91" s="13" t="str">
        <f>HYPERLINK("http://twitter.com/download/android","Twitter for Android")</f>
        <v>Twitter for Android</v>
      </c>
      <c r="L91" s="12">
        <v>106</v>
      </c>
      <c r="M91" s="12">
        <v>130</v>
      </c>
      <c r="N91" s="12">
        <v>0</v>
      </c>
      <c r="O91" s="14"/>
      <c r="P91" s="6">
        <v>42338.34646990741</v>
      </c>
      <c r="Q91" s="15" t="s">
        <v>377</v>
      </c>
      <c r="R91" s="17" t="s">
        <v>378</v>
      </c>
      <c r="S91" s="11"/>
      <c r="T91" s="11"/>
      <c r="U91" s="10" t="str">
        <f>HYPERLINK("https://pbs.twimg.com/profile_images/945726977297829892/I-KAkC9J.jpg","View")</f>
        <v>View</v>
      </c>
    </row>
    <row r="92" spans="1:21" ht="30.6">
      <c r="A92" s="6">
        <v>43442.517847222218</v>
      </c>
      <c r="B92" s="7" t="str">
        <f>HYPERLINK("https://twitter.com/tony_seawillis","@tony_seawillis")</f>
        <v>@tony_seawillis</v>
      </c>
      <c r="C92" s="8" t="s">
        <v>379</v>
      </c>
      <c r="D92" s="9" t="s">
        <v>380</v>
      </c>
      <c r="E92" s="10" t="str">
        <f>HYPERLINK("https://twitter.com/tony_seawillis/status/1071365196663410688","1071365196663410688")</f>
        <v>1071365196663410688</v>
      </c>
      <c r="F92" s="16" t="s">
        <v>381</v>
      </c>
      <c r="G92" s="11"/>
      <c r="H92" s="11"/>
      <c r="I92" s="12">
        <v>0</v>
      </c>
      <c r="J92" s="12">
        <v>0</v>
      </c>
      <c r="K92" s="13" t="str">
        <f t="shared" ref="K92:K93" si="27">HYPERLINK("http://twitter.com","Twitter Web Client")</f>
        <v>Twitter Web Client</v>
      </c>
      <c r="L92" s="12">
        <v>996</v>
      </c>
      <c r="M92" s="12">
        <v>1016</v>
      </c>
      <c r="N92" s="12">
        <v>22</v>
      </c>
      <c r="O92" s="14"/>
      <c r="P92" s="6">
        <v>41048.685381944444</v>
      </c>
      <c r="Q92" s="15" t="s">
        <v>197</v>
      </c>
      <c r="R92" s="17" t="s">
        <v>382</v>
      </c>
      <c r="S92" s="11"/>
      <c r="T92" s="11"/>
      <c r="U92" s="10" t="str">
        <f>HYPERLINK("https://pbs.twimg.com/profile_images/995684790866243585/D7p02w9X.jpg","View")</f>
        <v>View</v>
      </c>
    </row>
    <row r="93" spans="1:21" ht="40.799999999999997">
      <c r="A93" s="6">
        <v>43442.516527777778</v>
      </c>
      <c r="B93" s="7" t="str">
        <f>HYPERLINK("https://twitter.com/REBUZNOMETRO","@REBUZNOMETRO")</f>
        <v>@REBUZNOMETRO</v>
      </c>
      <c r="C93" s="8" t="s">
        <v>383</v>
      </c>
      <c r="D93" s="9" t="s">
        <v>384</v>
      </c>
      <c r="E93" s="10" t="str">
        <f>HYPERLINK("https://twitter.com/REBUZNOMETRO/status/1071364718558879745","1071364718558879745")</f>
        <v>1071364718558879745</v>
      </c>
      <c r="F93" s="11"/>
      <c r="G93" s="16" t="s">
        <v>385</v>
      </c>
      <c r="H93" s="11"/>
      <c r="I93" s="12">
        <v>0</v>
      </c>
      <c r="J93" s="12">
        <v>0</v>
      </c>
      <c r="K93" s="13" t="str">
        <f t="shared" si="27"/>
        <v>Twitter Web Client</v>
      </c>
      <c r="L93" s="12">
        <v>905</v>
      </c>
      <c r="M93" s="12">
        <v>980</v>
      </c>
      <c r="N93" s="12">
        <v>12</v>
      </c>
      <c r="O93" s="14"/>
      <c r="P93" s="6">
        <v>40416.926817129628</v>
      </c>
      <c r="Q93" s="15" t="s">
        <v>386</v>
      </c>
      <c r="R93" s="25" t="s">
        <v>387</v>
      </c>
      <c r="S93" s="16" t="s">
        <v>388</v>
      </c>
      <c r="T93" s="11"/>
      <c r="U93" s="10" t="str">
        <f>HYPERLINK("https://pbs.twimg.com/profile_images/905910064778805248/CypgT0im.jpg","View")</f>
        <v>View</v>
      </c>
    </row>
    <row r="94" spans="1:21" ht="51">
      <c r="A94" s="6">
        <v>43442.511215277773</v>
      </c>
      <c r="B94" s="7" t="str">
        <f>HYPERLINK("https://twitter.com/lysawao","@lysawao")</f>
        <v>@lysawao</v>
      </c>
      <c r="C94" s="8" t="s">
        <v>389</v>
      </c>
      <c r="D94" s="9" t="s">
        <v>390</v>
      </c>
      <c r="E94" s="10" t="str">
        <f>HYPERLINK("https://twitter.com/lysawao/status/1071362791934693376","1071362791934693376")</f>
        <v>1071362791934693376</v>
      </c>
      <c r="F94" s="15" t="s">
        <v>391</v>
      </c>
      <c r="G94" s="11"/>
      <c r="H94" s="11"/>
      <c r="I94" s="12">
        <v>0</v>
      </c>
      <c r="J94" s="12">
        <v>0</v>
      </c>
      <c r="K94" s="13" t="str">
        <f>HYPERLINK("http://twitter.com/download/android","Twitter for Android")</f>
        <v>Twitter for Android</v>
      </c>
      <c r="L94" s="12">
        <v>218</v>
      </c>
      <c r="M94" s="12">
        <v>373</v>
      </c>
      <c r="N94" s="12">
        <v>0</v>
      </c>
      <c r="O94" s="14"/>
      <c r="P94" s="6">
        <v>43322.735567129625</v>
      </c>
      <c r="Q94" s="11"/>
      <c r="R94" s="17" t="s">
        <v>392</v>
      </c>
      <c r="S94" s="11"/>
      <c r="T94" s="11"/>
      <c r="U94" s="10" t="str">
        <f>HYPERLINK("https://pbs.twimg.com/profile_images/1035595657590001664/P2uPKmRp.jpg","View")</f>
        <v>View</v>
      </c>
    </row>
    <row r="95" spans="1:21" ht="20.399999999999999">
      <c r="A95" s="6">
        <v>43442.509733796294</v>
      </c>
      <c r="B95" s="7" t="str">
        <f>HYPERLINK("https://twitter.com/Jardiner_","@Jardiner_")</f>
        <v>@Jardiner_</v>
      </c>
      <c r="C95" s="8" t="s">
        <v>393</v>
      </c>
      <c r="D95" s="9" t="s">
        <v>394</v>
      </c>
      <c r="E95" s="10" t="str">
        <f>HYPERLINK("https://twitter.com/Jardiner_/status/1071362255898505218","1071362255898505218")</f>
        <v>1071362255898505218</v>
      </c>
      <c r="F95" s="11"/>
      <c r="G95" s="11"/>
      <c r="H95" s="11"/>
      <c r="I95" s="12">
        <v>0</v>
      </c>
      <c r="J95" s="12">
        <v>8</v>
      </c>
      <c r="K95" s="13" t="str">
        <f>HYPERLINK("http://twitter.com","Twitter Web Client")</f>
        <v>Twitter Web Client</v>
      </c>
      <c r="L95" s="12">
        <v>9592</v>
      </c>
      <c r="M95" s="12">
        <v>383</v>
      </c>
      <c r="N95" s="12">
        <v>104</v>
      </c>
      <c r="O95" s="14"/>
      <c r="P95" s="6">
        <v>41676.696099537039</v>
      </c>
      <c r="Q95" s="15" t="s">
        <v>395</v>
      </c>
      <c r="R95" s="17" t="s">
        <v>396</v>
      </c>
      <c r="S95" s="11"/>
      <c r="T95" s="11"/>
      <c r="U95" s="10" t="str">
        <f>HYPERLINK("https://pbs.twimg.com/profile_images/1056488150925787136/N7j0Y8mC.jpg","View")</f>
        <v>View</v>
      </c>
    </row>
    <row r="96" spans="1:21" ht="20.399999999999999">
      <c r="A96" s="6">
        <v>43442.50708333333</v>
      </c>
      <c r="B96" s="7" t="str">
        <f>HYPERLINK("https://twitter.com/myolande70","@myolande70")</f>
        <v>@myolande70</v>
      </c>
      <c r="C96" s="8" t="s">
        <v>353</v>
      </c>
      <c r="D96" s="9" t="s">
        <v>397</v>
      </c>
      <c r="E96" s="10" t="str">
        <f>HYPERLINK("https://twitter.com/myolande70/status/1071361297319628800","1071361297319628800")</f>
        <v>1071361297319628800</v>
      </c>
      <c r="F96" s="16" t="s">
        <v>398</v>
      </c>
      <c r="G96" s="11"/>
      <c r="H96" s="11"/>
      <c r="I96" s="12">
        <v>0</v>
      </c>
      <c r="J96" s="12">
        <v>0</v>
      </c>
      <c r="K96" s="13" t="str">
        <f t="shared" ref="K96:K97" si="28">HYPERLINK("http://twitter.com/download/android","Twitter for Android")</f>
        <v>Twitter for Android</v>
      </c>
      <c r="L96" s="12">
        <v>115</v>
      </c>
      <c r="M96" s="12">
        <v>165</v>
      </c>
      <c r="N96" s="12">
        <v>0</v>
      </c>
      <c r="O96" s="14"/>
      <c r="P96" s="6">
        <v>41792.704907407409</v>
      </c>
      <c r="Q96" s="15" t="s">
        <v>197</v>
      </c>
      <c r="R96" s="17" t="s">
        <v>399</v>
      </c>
      <c r="S96" s="11"/>
      <c r="T96" s="11"/>
      <c r="U96" s="10" t="str">
        <f>HYPERLINK("https://pbs.twimg.com/profile_images/1040366125996023808/juYrVNSn.jpg","View")</f>
        <v>View</v>
      </c>
    </row>
    <row r="97" spans="1:21" ht="40.799999999999997">
      <c r="A97" s="6">
        <v>43442.505960648152</v>
      </c>
      <c r="B97" s="7" t="str">
        <f>HYPERLINK("https://twitter.com/malagaalmomento","@malagaalmomento")</f>
        <v>@malagaalmomento</v>
      </c>
      <c r="C97" s="8" t="s">
        <v>400</v>
      </c>
      <c r="D97" s="9" t="s">
        <v>401</v>
      </c>
      <c r="E97" s="10" t="str">
        <f>HYPERLINK("https://twitter.com/malagaalmomento/status/1071360889889177600","1071360889889177600")</f>
        <v>1071360889889177600</v>
      </c>
      <c r="F97" s="16" t="s">
        <v>402</v>
      </c>
      <c r="G97" s="11"/>
      <c r="H97" s="11"/>
      <c r="I97" s="12">
        <v>0</v>
      </c>
      <c r="J97" s="12">
        <v>1</v>
      </c>
      <c r="K97" s="13" t="str">
        <f t="shared" si="28"/>
        <v>Twitter for Android</v>
      </c>
      <c r="L97" s="12">
        <v>1462</v>
      </c>
      <c r="M97" s="12">
        <v>647</v>
      </c>
      <c r="N97" s="12">
        <v>34</v>
      </c>
      <c r="O97" s="14"/>
      <c r="P97" s="6">
        <v>40795.017974537041</v>
      </c>
      <c r="Q97" s="15" t="s">
        <v>403</v>
      </c>
      <c r="R97" s="17" t="s">
        <v>404</v>
      </c>
      <c r="S97" s="11"/>
      <c r="T97" s="11"/>
      <c r="U97" s="10" t="str">
        <f>HYPERLINK("https://pbs.twimg.com/profile_images/1039880007785570311/JwF4nNvY.jpg","View")</f>
        <v>View</v>
      </c>
    </row>
    <row r="98" spans="1:21" ht="61.2">
      <c r="A98" s="6">
        <v>43442.50582175926</v>
      </c>
      <c r="B98" s="7" t="str">
        <f>HYPERLINK("https://twitter.com/Ghezireh","@Ghezireh")</f>
        <v>@Ghezireh</v>
      </c>
      <c r="C98" s="8" t="s">
        <v>405</v>
      </c>
      <c r="D98" s="9" t="s">
        <v>406</v>
      </c>
      <c r="E98" s="10" t="str">
        <f>HYPERLINK("https://twitter.com/Ghezireh/status/1071360837703606272","1071360837703606272")</f>
        <v>1071360837703606272</v>
      </c>
      <c r="F98" s="15" t="s">
        <v>391</v>
      </c>
      <c r="G98" s="11"/>
      <c r="H98" s="11"/>
      <c r="I98" s="12">
        <v>0</v>
      </c>
      <c r="J98" s="12">
        <v>0</v>
      </c>
      <c r="K98" s="13" t="str">
        <f>HYPERLINK("http://twitter.com/download/iphone","Twitter for iPhone")</f>
        <v>Twitter for iPhone</v>
      </c>
      <c r="L98" s="12">
        <v>245</v>
      </c>
      <c r="M98" s="12">
        <v>600</v>
      </c>
      <c r="N98" s="12">
        <v>6</v>
      </c>
      <c r="O98" s="14"/>
      <c r="P98" s="6">
        <v>39924.021828703706</v>
      </c>
      <c r="Q98" s="15" t="s">
        <v>407</v>
      </c>
      <c r="R98" s="17" t="s">
        <v>408</v>
      </c>
      <c r="S98" s="11"/>
      <c r="T98" s="11"/>
      <c r="U98" s="10" t="str">
        <f>HYPERLINK("https://pbs.twimg.com/profile_images/914060082845020160/BCIEZcLy.jpg","View")</f>
        <v>View</v>
      </c>
    </row>
    <row r="99" spans="1:21" ht="61.2">
      <c r="A99" s="6">
        <v>43442.505636574075</v>
      </c>
      <c r="B99" s="7" t="str">
        <f>HYPERLINK("https://twitter.com/KRLS_0","@KRLS_0")</f>
        <v>@KRLS_0</v>
      </c>
      <c r="C99" s="8" t="s">
        <v>409</v>
      </c>
      <c r="D99" s="9" t="s">
        <v>410</v>
      </c>
      <c r="E99" s="10" t="str">
        <f>HYPERLINK("https://twitter.com/KRLS_0/status/1071360772280852480","1071360772280852480")</f>
        <v>1071360772280852480</v>
      </c>
      <c r="F99" s="11"/>
      <c r="G99" s="16" t="s">
        <v>411</v>
      </c>
      <c r="H99" s="11"/>
      <c r="I99" s="12">
        <v>0</v>
      </c>
      <c r="J99" s="12">
        <v>1</v>
      </c>
      <c r="K99" s="13" t="str">
        <f>HYPERLINK("https://mobile.twitter.com","Twitter Lite")</f>
        <v>Twitter Lite</v>
      </c>
      <c r="L99" s="12">
        <v>26</v>
      </c>
      <c r="M99" s="12">
        <v>22</v>
      </c>
      <c r="N99" s="12">
        <v>0</v>
      </c>
      <c r="O99" s="14"/>
      <c r="P99" s="6">
        <v>43064.097650462965</v>
      </c>
      <c r="Q99" s="15" t="s">
        <v>197</v>
      </c>
      <c r="R99" s="17" t="s">
        <v>412</v>
      </c>
      <c r="S99" s="11"/>
      <c r="T99" s="11"/>
      <c r="U99" s="10" t="str">
        <f>HYPERLINK("https://pbs.twimg.com/profile_images/1021183585481617410/p5QGShxw.jpg","View")</f>
        <v>View</v>
      </c>
    </row>
    <row r="100" spans="1:21" ht="61.2">
      <c r="A100" s="6">
        <v>43442.504606481481</v>
      </c>
      <c r="B100" s="7" t="str">
        <f>HYPERLINK("https://twitter.com/Pablito_Pablera","@Pablito_Pablera")</f>
        <v>@Pablito_Pablera</v>
      </c>
      <c r="C100" s="8" t="s">
        <v>413</v>
      </c>
      <c r="D100" s="9" t="s">
        <v>414</v>
      </c>
      <c r="E100" s="10" t="str">
        <f>HYPERLINK("https://twitter.com/Pablito_Pablera/status/1071360398530613253","1071360398530613253")</f>
        <v>1071360398530613253</v>
      </c>
      <c r="F100" s="11"/>
      <c r="G100" s="16" t="s">
        <v>415</v>
      </c>
      <c r="H100" s="11"/>
      <c r="I100" s="12">
        <v>2</v>
      </c>
      <c r="J100" s="12">
        <v>2</v>
      </c>
      <c r="K100" s="13" t="str">
        <f>HYPERLINK("http://twitter.com/download/android","Twitter for Android")</f>
        <v>Twitter for Android</v>
      </c>
      <c r="L100" s="12">
        <v>502</v>
      </c>
      <c r="M100" s="12">
        <v>647</v>
      </c>
      <c r="N100" s="12">
        <v>4</v>
      </c>
      <c r="O100" s="14"/>
      <c r="P100" s="6">
        <v>42705.75608796296</v>
      </c>
      <c r="Q100" s="15" t="s">
        <v>197</v>
      </c>
      <c r="R100" s="17" t="s">
        <v>416</v>
      </c>
      <c r="S100" s="11"/>
      <c r="T100" s="11"/>
      <c r="U100" s="10" t="str">
        <f>HYPERLINK("https://pbs.twimg.com/profile_images/919922301767954432/OemcINBC.jpg","View")</f>
        <v>View</v>
      </c>
    </row>
    <row r="101" spans="1:21" ht="51">
      <c r="A101" s="6">
        <v>43442.50271990741</v>
      </c>
      <c r="B101" s="7" t="str">
        <f>HYPERLINK("https://twitter.com/misterdonpablo","@misterdonpablo")</f>
        <v>@misterdonpablo</v>
      </c>
      <c r="C101" s="8" t="s">
        <v>417</v>
      </c>
      <c r="D101" s="9" t="s">
        <v>418</v>
      </c>
      <c r="E101" s="10" t="str">
        <f>HYPERLINK("https://twitter.com/misterdonpablo/status/1071359713906962433","1071359713906962433")</f>
        <v>1071359713906962433</v>
      </c>
      <c r="F101" s="11"/>
      <c r="G101" s="16" t="s">
        <v>419</v>
      </c>
      <c r="H101" s="11"/>
      <c r="I101" s="12">
        <v>7</v>
      </c>
      <c r="J101" s="12">
        <v>16</v>
      </c>
      <c r="K101" s="13" t="str">
        <f>HYPERLINK("http://twitter.com/download/iphone","Twitter for iPhone")</f>
        <v>Twitter for iPhone</v>
      </c>
      <c r="L101" s="12">
        <v>8450</v>
      </c>
      <c r="M101" s="12">
        <v>9079</v>
      </c>
      <c r="N101" s="12">
        <v>18</v>
      </c>
      <c r="O101" s="14"/>
      <c r="P101" s="6">
        <v>42242.962083333332</v>
      </c>
      <c r="Q101" s="11"/>
      <c r="R101" s="18"/>
      <c r="S101" s="11"/>
      <c r="T101" s="11"/>
      <c r="U101" s="10" t="str">
        <f>HYPERLINK("https://pbs.twimg.com/profile_images/636646791878995969/Fpg5rJ84.jpg","View")</f>
        <v>View</v>
      </c>
    </row>
    <row r="102" spans="1:21" ht="51">
      <c r="A102" s="6">
        <v>43442.501388888893</v>
      </c>
      <c r="B102" s="7" t="str">
        <f t="shared" ref="B102:B103" si="29">HYPERLINK("https://twitter.com/bitMomentum","@bitMomentum")</f>
        <v>@bitMomentum</v>
      </c>
      <c r="C102" s="8" t="s">
        <v>82</v>
      </c>
      <c r="D102" s="9" t="s">
        <v>420</v>
      </c>
      <c r="E102" s="10" t="str">
        <f>HYPERLINK("https://twitter.com/bitMomentum/status/1071359230605754369","1071359230605754369")</f>
        <v>1071359230605754369</v>
      </c>
      <c r="F102" s="11"/>
      <c r="G102" s="11"/>
      <c r="H102" s="11"/>
      <c r="I102" s="12">
        <v>0</v>
      </c>
      <c r="J102" s="12">
        <v>0</v>
      </c>
      <c r="K102" s="13" t="str">
        <f t="shared" ref="K102:K103" si="30">HYPERLINK("http://www.bitmomentum.com","bitMomentum Bot")</f>
        <v>bitMomentum Bot</v>
      </c>
      <c r="L102" s="12">
        <v>10253</v>
      </c>
      <c r="M102" s="12">
        <v>1059</v>
      </c>
      <c r="N102" s="12">
        <v>263</v>
      </c>
      <c r="O102" s="14"/>
      <c r="P102" s="6">
        <v>41608.667511574073</v>
      </c>
      <c r="Q102" s="11"/>
      <c r="R102" s="17" t="s">
        <v>84</v>
      </c>
      <c r="S102" s="16" t="s">
        <v>85</v>
      </c>
      <c r="T102" s="11"/>
      <c r="U102" s="10" t="str">
        <f t="shared" ref="U102:U103" si="31">HYPERLINK("https://pbs.twimg.com/profile_images/378800000862185241/20ij2H3u.png","View")</f>
        <v>View</v>
      </c>
    </row>
    <row r="103" spans="1:21" ht="51">
      <c r="A103" s="6">
        <v>43442.500694444447</v>
      </c>
      <c r="B103" s="7" t="str">
        <f t="shared" si="29"/>
        <v>@bitMomentum</v>
      </c>
      <c r="C103" s="8" t="s">
        <v>82</v>
      </c>
      <c r="D103" s="9" t="s">
        <v>421</v>
      </c>
      <c r="E103" s="10" t="str">
        <f>HYPERLINK("https://twitter.com/bitMomentum/status/1071358979010453505","1071358979010453505")</f>
        <v>1071358979010453505</v>
      </c>
      <c r="F103" s="11"/>
      <c r="G103" s="11"/>
      <c r="H103" s="11"/>
      <c r="I103" s="12">
        <v>1</v>
      </c>
      <c r="J103" s="12">
        <v>2</v>
      </c>
      <c r="K103" s="13" t="str">
        <f t="shared" si="30"/>
        <v>bitMomentum Bot</v>
      </c>
      <c r="L103" s="12">
        <v>10253</v>
      </c>
      <c r="M103" s="12">
        <v>1059</v>
      </c>
      <c r="N103" s="12">
        <v>263</v>
      </c>
      <c r="O103" s="14"/>
      <c r="P103" s="6">
        <v>41608.667511574073</v>
      </c>
      <c r="Q103" s="11"/>
      <c r="R103" s="17" t="s">
        <v>84</v>
      </c>
      <c r="S103" s="16" t="s">
        <v>85</v>
      </c>
      <c r="T103" s="11"/>
      <c r="U103" s="10" t="str">
        <f t="shared" si="31"/>
        <v>View</v>
      </c>
    </row>
    <row r="104" spans="1:21" ht="20.399999999999999">
      <c r="A104" s="6">
        <v>43442.497164351851</v>
      </c>
      <c r="B104" s="7" t="str">
        <f>HYPERLINK("https://twitter.com/Santi_ABASCAL","@Santi_ABASCAL")</f>
        <v>@Santi_ABASCAL</v>
      </c>
      <c r="C104" s="8" t="s">
        <v>422</v>
      </c>
      <c r="D104" s="9" t="s">
        <v>423</v>
      </c>
      <c r="E104" s="10" t="str">
        <f>HYPERLINK("https://twitter.com/Santi_ABASCAL/status/1071357700410408960","1071357700410408960")</f>
        <v>1071357700410408960</v>
      </c>
      <c r="F104" s="16" t="s">
        <v>424</v>
      </c>
      <c r="G104" s="16" t="s">
        <v>425</v>
      </c>
      <c r="H104" s="11"/>
      <c r="I104" s="12">
        <v>1115</v>
      </c>
      <c r="J104" s="12">
        <v>3127</v>
      </c>
      <c r="K104" s="13" t="str">
        <f>HYPERLINK("http://twitter.com/download/android","Twitter for Android")</f>
        <v>Twitter for Android</v>
      </c>
      <c r="L104" s="12">
        <v>136305</v>
      </c>
      <c r="M104" s="12">
        <v>3909</v>
      </c>
      <c r="N104" s="12">
        <v>965</v>
      </c>
      <c r="O104" s="23" t="s">
        <v>89</v>
      </c>
      <c r="P104" s="6">
        <v>40606.716446759259</v>
      </c>
      <c r="Q104" s="15" t="s">
        <v>426</v>
      </c>
      <c r="R104" s="17" t="s">
        <v>427</v>
      </c>
      <c r="S104" s="16" t="s">
        <v>428</v>
      </c>
      <c r="T104" s="11"/>
      <c r="U104" s="10" t="str">
        <f>HYPERLINK("https://pbs.twimg.com/profile_images/1010488787686879232/2CnqYKlD.jpg","View")</f>
        <v>View</v>
      </c>
    </row>
    <row r="105" spans="1:21" ht="71.400000000000006">
      <c r="A105" s="6">
        <v>43442.492465277777</v>
      </c>
      <c r="B105" s="7" t="str">
        <f>HYPERLINK("https://twitter.com/JantocE","@JantocE")</f>
        <v>@JantocE</v>
      </c>
      <c r="C105" s="8" t="s">
        <v>429</v>
      </c>
      <c r="D105" s="9" t="s">
        <v>430</v>
      </c>
      <c r="E105" s="10" t="str">
        <f>HYPERLINK("https://twitter.com/JantocE/status/1071356000375050240","1071356000375050240")</f>
        <v>1071356000375050240</v>
      </c>
      <c r="F105" s="16" t="s">
        <v>431</v>
      </c>
      <c r="G105" s="11"/>
      <c r="H105" s="11"/>
      <c r="I105" s="12">
        <v>0</v>
      </c>
      <c r="J105" s="12">
        <v>0</v>
      </c>
      <c r="K105" s="13" t="str">
        <f>HYPERLINK("https://mobile.twitter.com","Twitter Lite")</f>
        <v>Twitter Lite</v>
      </c>
      <c r="L105" s="12">
        <v>172</v>
      </c>
      <c r="M105" s="12">
        <v>287</v>
      </c>
      <c r="N105" s="12">
        <v>0</v>
      </c>
      <c r="O105" s="14"/>
      <c r="P105" s="6">
        <v>43341.384583333333</v>
      </c>
      <c r="Q105" s="15" t="s">
        <v>432</v>
      </c>
      <c r="R105" s="17" t="s">
        <v>433</v>
      </c>
      <c r="S105" s="11"/>
      <c r="T105" s="11"/>
      <c r="U105" s="10" t="str">
        <f>HYPERLINK("https://pbs.twimg.com/profile_images/1050998884992978946/oaEs0rE1.jpg","View")</f>
        <v>View</v>
      </c>
    </row>
    <row r="106" spans="1:21" ht="51">
      <c r="A106" s="6">
        <v>43442.490798611107</v>
      </c>
      <c r="B106" s="7" t="str">
        <f>HYPERLINK("https://twitter.com/javier11207","@javier11207")</f>
        <v>@javier11207</v>
      </c>
      <c r="C106" s="8" t="s">
        <v>434</v>
      </c>
      <c r="D106" s="9" t="s">
        <v>435</v>
      </c>
      <c r="E106" s="10" t="str">
        <f>HYPERLINK("https://twitter.com/javier11207/status/1071355393538961408","1071355393538961408")</f>
        <v>1071355393538961408</v>
      </c>
      <c r="F106" s="11"/>
      <c r="G106" s="16" t="s">
        <v>436</v>
      </c>
      <c r="H106" s="11"/>
      <c r="I106" s="12">
        <v>0</v>
      </c>
      <c r="J106" s="12">
        <v>0</v>
      </c>
      <c r="K106" s="13" t="str">
        <f t="shared" ref="K106:K110" si="32">HYPERLINK("http://twitter.com/download/android","Twitter for Android")</f>
        <v>Twitter for Android</v>
      </c>
      <c r="L106" s="12">
        <v>0</v>
      </c>
      <c r="M106" s="12">
        <v>9</v>
      </c>
      <c r="N106" s="12">
        <v>0</v>
      </c>
      <c r="O106" s="14"/>
      <c r="P106" s="6">
        <v>43440.677303240736</v>
      </c>
      <c r="Q106" s="11"/>
      <c r="R106" s="18"/>
      <c r="S106" s="11"/>
      <c r="T106" s="11"/>
      <c r="U106" s="23" t="s">
        <v>437</v>
      </c>
    </row>
    <row r="107" spans="1:21" ht="61.2">
      <c r="A107" s="6">
        <v>43442.485937500001</v>
      </c>
      <c r="B107" s="7" t="str">
        <f>HYPERLINK("https://twitter.com/ankasatue","@ankasatue")</f>
        <v>@ankasatue</v>
      </c>
      <c r="C107" s="8" t="s">
        <v>438</v>
      </c>
      <c r="D107" s="9" t="s">
        <v>439</v>
      </c>
      <c r="E107" s="10" t="str">
        <f>HYPERLINK("https://twitter.com/ankasatue/status/1071353634301100032","1071353634301100032")</f>
        <v>1071353634301100032</v>
      </c>
      <c r="F107" s="16" t="s">
        <v>440</v>
      </c>
      <c r="G107" s="11"/>
      <c r="H107" s="11"/>
      <c r="I107" s="12">
        <v>0</v>
      </c>
      <c r="J107" s="12">
        <v>1</v>
      </c>
      <c r="K107" s="13" t="str">
        <f t="shared" si="32"/>
        <v>Twitter for Android</v>
      </c>
      <c r="L107" s="12">
        <v>719</v>
      </c>
      <c r="M107" s="12">
        <v>3543</v>
      </c>
      <c r="N107" s="12">
        <v>26</v>
      </c>
      <c r="O107" s="14"/>
      <c r="P107" s="6">
        <v>42104.013518518521</v>
      </c>
      <c r="Q107" s="15" t="s">
        <v>441</v>
      </c>
      <c r="R107" s="17" t="s">
        <v>442</v>
      </c>
      <c r="S107" s="16" t="s">
        <v>443</v>
      </c>
      <c r="T107" s="11"/>
      <c r="U107" s="10" t="str">
        <f>HYPERLINK("https://pbs.twimg.com/profile_images/646050656483192832/eXHe8lfn.jpg","View")</f>
        <v>View</v>
      </c>
    </row>
    <row r="108" spans="1:21" ht="51">
      <c r="A108" s="6">
        <v>43442.484074074076</v>
      </c>
      <c r="B108" s="7" t="str">
        <f>HYPERLINK("https://twitter.com/mipicaenflandes","@mipicaenflandes")</f>
        <v>@mipicaenflandes</v>
      </c>
      <c r="C108" s="8" t="s">
        <v>444</v>
      </c>
      <c r="D108" s="9" t="s">
        <v>445</v>
      </c>
      <c r="E108" s="10" t="str">
        <f>HYPERLINK("https://twitter.com/mipicaenflandes/status/1071352959424978944","1071352959424978944")</f>
        <v>1071352959424978944</v>
      </c>
      <c r="F108" s="11"/>
      <c r="G108" s="16" t="s">
        <v>446</v>
      </c>
      <c r="H108" s="11"/>
      <c r="I108" s="12">
        <v>0</v>
      </c>
      <c r="J108" s="12">
        <v>1</v>
      </c>
      <c r="K108" s="13" t="str">
        <f t="shared" si="32"/>
        <v>Twitter for Android</v>
      </c>
      <c r="L108" s="12">
        <v>2</v>
      </c>
      <c r="M108" s="12">
        <v>8</v>
      </c>
      <c r="N108" s="12">
        <v>0</v>
      </c>
      <c r="O108" s="14"/>
      <c r="P108" s="6">
        <v>43433.858275462961</v>
      </c>
      <c r="Q108" s="11"/>
      <c r="R108" s="18"/>
      <c r="S108" s="11"/>
      <c r="T108" s="11"/>
      <c r="U108" s="10" t="str">
        <f>HYPERLINK("https://pbs.twimg.com/profile_images/1068233740525207552/2PvqbhXo.jpg","View")</f>
        <v>View</v>
      </c>
    </row>
    <row r="109" spans="1:21" ht="51">
      <c r="A109" s="6">
        <v>43442.476956018523</v>
      </c>
      <c r="B109" s="7" t="str">
        <f>HYPERLINK("https://twitter.com/ElVirginiano1","@ElVirginiano1")</f>
        <v>@ElVirginiano1</v>
      </c>
      <c r="C109" s="8" t="s">
        <v>447</v>
      </c>
      <c r="D109" s="9" t="s">
        <v>448</v>
      </c>
      <c r="E109" s="10" t="str">
        <f>HYPERLINK("https://twitter.com/ElVirginiano1/status/1071350377826709505","1071350377826709505")</f>
        <v>1071350377826709505</v>
      </c>
      <c r="F109" s="11"/>
      <c r="G109" s="16" t="s">
        <v>449</v>
      </c>
      <c r="H109" s="11"/>
      <c r="I109" s="12">
        <v>1</v>
      </c>
      <c r="J109" s="12">
        <v>1</v>
      </c>
      <c r="K109" s="13" t="str">
        <f t="shared" si="32"/>
        <v>Twitter for Android</v>
      </c>
      <c r="L109" s="12">
        <v>2108</v>
      </c>
      <c r="M109" s="12">
        <v>5003</v>
      </c>
      <c r="N109" s="12">
        <v>4</v>
      </c>
      <c r="O109" s="14"/>
      <c r="P109" s="6">
        <v>43241.714629629627</v>
      </c>
      <c r="Q109" s="11"/>
      <c r="R109" s="18"/>
      <c r="S109" s="11"/>
      <c r="T109" s="11"/>
      <c r="U109" s="10" t="str">
        <f>HYPERLINK("https://pbs.twimg.com/profile_images/998799245556645893/EAw9pmZR.jpg","View")</f>
        <v>View</v>
      </c>
    </row>
    <row r="110" spans="1:21" ht="81.599999999999994">
      <c r="A110" s="6">
        <v>43442.475034722222</v>
      </c>
      <c r="B110" s="7" t="str">
        <f>HYPERLINK("https://twitter.com/doguionrego","@doguionrego")</f>
        <v>@doguionrego</v>
      </c>
      <c r="C110" s="8" t="s">
        <v>194</v>
      </c>
      <c r="D110" s="9" t="s">
        <v>450</v>
      </c>
      <c r="E110" s="10" t="str">
        <f>HYPERLINK("https://twitter.com/doguionrego/status/1071349681278590978","1071349681278590978")</f>
        <v>1071349681278590978</v>
      </c>
      <c r="F110" s="16" t="s">
        <v>451</v>
      </c>
      <c r="G110" s="11"/>
      <c r="H110" s="11"/>
      <c r="I110" s="12">
        <v>0</v>
      </c>
      <c r="J110" s="12">
        <v>0</v>
      </c>
      <c r="K110" s="13" t="str">
        <f t="shared" si="32"/>
        <v>Twitter for Android</v>
      </c>
      <c r="L110" s="12">
        <v>4650</v>
      </c>
      <c r="M110" s="12">
        <v>4774</v>
      </c>
      <c r="N110" s="12">
        <v>9</v>
      </c>
      <c r="O110" s="14"/>
      <c r="P110" s="6">
        <v>42818.633599537032</v>
      </c>
      <c r="Q110" s="15" t="s">
        <v>197</v>
      </c>
      <c r="R110" s="17" t="s">
        <v>198</v>
      </c>
      <c r="S110" s="11"/>
      <c r="T110" s="11"/>
      <c r="U110" s="10" t="str">
        <f>HYPERLINK("https://pbs.twimg.com/profile_images/937615481602789376/OBa7YPsM.jpg","View")</f>
        <v>View</v>
      </c>
    </row>
    <row r="111" spans="1:21" ht="30.6">
      <c r="A111" s="6">
        <v>43442.460833333331</v>
      </c>
      <c r="B111" s="7" t="str">
        <f>HYPERLINK("https://twitter.com/DiezPuzzola","@DiezPuzzola")</f>
        <v>@DiezPuzzola</v>
      </c>
      <c r="C111" s="8" t="s">
        <v>452</v>
      </c>
      <c r="D111" s="9" t="s">
        <v>453</v>
      </c>
      <c r="E111" s="10" t="str">
        <f>HYPERLINK("https://twitter.com/DiezPuzzola/status/1071344536360755200","1071344536360755200")</f>
        <v>1071344536360755200</v>
      </c>
      <c r="F111" s="11"/>
      <c r="G111" s="11"/>
      <c r="H111" s="11"/>
      <c r="I111" s="12">
        <v>7</v>
      </c>
      <c r="J111" s="12">
        <v>43</v>
      </c>
      <c r="K111" s="13" t="str">
        <f>HYPERLINK("http://twitter.com/download/iphone","Twitter for iPhone")</f>
        <v>Twitter for iPhone</v>
      </c>
      <c r="L111" s="12">
        <v>10476</v>
      </c>
      <c r="M111" s="12">
        <v>7845</v>
      </c>
      <c r="N111" s="12">
        <v>84</v>
      </c>
      <c r="O111" s="14"/>
      <c r="P111" s="6">
        <v>41459.925185185188</v>
      </c>
      <c r="Q111" s="15" t="s">
        <v>454</v>
      </c>
      <c r="R111" s="17" t="s">
        <v>455</v>
      </c>
      <c r="S111" s="11"/>
      <c r="T111" s="11"/>
      <c r="U111" s="10" t="str">
        <f>HYPERLINK("https://pbs.twimg.com/profile_images/1068591333651202048/xfR1ol_D.jpg","View")</f>
        <v>View</v>
      </c>
    </row>
    <row r="112" spans="1:21" ht="51">
      <c r="A112" s="6">
        <v>43442.459722222222</v>
      </c>
      <c r="B112" s="7" t="str">
        <f>HYPERLINK("https://twitter.com/bitMomentum","@bitMomentum")</f>
        <v>@bitMomentum</v>
      </c>
      <c r="C112" s="8" t="s">
        <v>82</v>
      </c>
      <c r="D112" s="9" t="s">
        <v>456</v>
      </c>
      <c r="E112" s="10" t="str">
        <f>HYPERLINK("https://twitter.com/bitMomentum/status/1071344131333607424","1071344131333607424")</f>
        <v>1071344131333607424</v>
      </c>
      <c r="F112" s="11"/>
      <c r="G112" s="11"/>
      <c r="H112" s="11"/>
      <c r="I112" s="12">
        <v>0</v>
      </c>
      <c r="J112" s="12">
        <v>0</v>
      </c>
      <c r="K112" s="13" t="str">
        <f>HYPERLINK("http://www.bitmomentum.com","bitMomentum Bot")</f>
        <v>bitMomentum Bot</v>
      </c>
      <c r="L112" s="12">
        <v>10253</v>
      </c>
      <c r="M112" s="12">
        <v>1059</v>
      </c>
      <c r="N112" s="12">
        <v>263</v>
      </c>
      <c r="O112" s="14"/>
      <c r="P112" s="6">
        <v>41608.667511574073</v>
      </c>
      <c r="Q112" s="11"/>
      <c r="R112" s="17" t="s">
        <v>84</v>
      </c>
      <c r="S112" s="16" t="s">
        <v>85</v>
      </c>
      <c r="T112" s="11"/>
      <c r="U112" s="10" t="str">
        <f>HYPERLINK("https://pbs.twimg.com/profile_images/378800000862185241/20ij2H3u.png","View")</f>
        <v>View</v>
      </c>
    </row>
    <row r="113" spans="1:21" ht="91.8">
      <c r="A113" s="6">
        <v>43442.459652777776</v>
      </c>
      <c r="B113" s="7" t="str">
        <f>HYPERLINK("https://twitter.com/Juan_L_Vicente","@Juan_L_Vicente")</f>
        <v>@Juan_L_Vicente</v>
      </c>
      <c r="C113" s="8" t="s">
        <v>457</v>
      </c>
      <c r="D113" s="9" t="s">
        <v>458</v>
      </c>
      <c r="E113" s="10" t="str">
        <f>HYPERLINK("https://twitter.com/Juan_L_Vicente/status/1071344106109091850","1071344106109091850")</f>
        <v>1071344106109091850</v>
      </c>
      <c r="F113" s="16" t="s">
        <v>459</v>
      </c>
      <c r="G113" s="11"/>
      <c r="H113" s="11"/>
      <c r="I113" s="12">
        <v>0</v>
      </c>
      <c r="J113" s="12">
        <v>0</v>
      </c>
      <c r="K113" s="13" t="str">
        <f>HYPERLINK("http://twitter.com/#!/download/ipad","Twitter for iPad")</f>
        <v>Twitter for iPad</v>
      </c>
      <c r="L113" s="12">
        <v>171</v>
      </c>
      <c r="M113" s="12">
        <v>47</v>
      </c>
      <c r="N113" s="12">
        <v>18</v>
      </c>
      <c r="O113" s="14"/>
      <c r="P113" s="6">
        <v>41102.419212962966</v>
      </c>
      <c r="Q113" s="11"/>
      <c r="R113" s="17" t="s">
        <v>460</v>
      </c>
      <c r="S113" s="11"/>
      <c r="T113" s="11"/>
      <c r="U113" s="10" t="str">
        <f>HYPERLINK("https://pbs.twimg.com/profile_images/571845006403440640/BBgqv8vP.jpeg","View")</f>
        <v>View</v>
      </c>
    </row>
    <row r="114" spans="1:21" ht="51">
      <c r="A114" s="6">
        <v>43442.459027777775</v>
      </c>
      <c r="B114" s="7" t="str">
        <f>HYPERLINK("https://twitter.com/bitMomentum","@bitMomentum")</f>
        <v>@bitMomentum</v>
      </c>
      <c r="C114" s="8" t="s">
        <v>82</v>
      </c>
      <c r="D114" s="9" t="s">
        <v>461</v>
      </c>
      <c r="E114" s="10" t="str">
        <f>HYPERLINK("https://twitter.com/bitMomentum/status/1071343879595720704","1071343879595720704")</f>
        <v>1071343879595720704</v>
      </c>
      <c r="F114" s="11"/>
      <c r="G114" s="11"/>
      <c r="H114" s="11"/>
      <c r="I114" s="12">
        <v>0</v>
      </c>
      <c r="J114" s="12">
        <v>0</v>
      </c>
      <c r="K114" s="13" t="str">
        <f>HYPERLINK("http://www.bitmomentum.com","bitMomentum Bot")</f>
        <v>bitMomentum Bot</v>
      </c>
      <c r="L114" s="12">
        <v>10253</v>
      </c>
      <c r="M114" s="12">
        <v>1059</v>
      </c>
      <c r="N114" s="12">
        <v>263</v>
      </c>
      <c r="O114" s="14"/>
      <c r="P114" s="6">
        <v>41608.667511574073</v>
      </c>
      <c r="Q114" s="11"/>
      <c r="R114" s="17" t="s">
        <v>84</v>
      </c>
      <c r="S114" s="16" t="s">
        <v>85</v>
      </c>
      <c r="T114" s="11"/>
      <c r="U114" s="10" t="str">
        <f>HYPERLINK("https://pbs.twimg.com/profile_images/378800000862185241/20ij2H3u.png","View")</f>
        <v>View</v>
      </c>
    </row>
    <row r="115" spans="1:21" ht="40.799999999999997">
      <c r="A115" s="6">
        <v>43442.452916666662</v>
      </c>
      <c r="B115" s="7" t="str">
        <f>HYPERLINK("https://twitter.com/laura_sevillano","@laura_sevillano")</f>
        <v>@laura_sevillano</v>
      </c>
      <c r="C115" s="8" t="s">
        <v>462</v>
      </c>
      <c r="D115" s="9" t="s">
        <v>463</v>
      </c>
      <c r="E115" s="10" t="str">
        <f>HYPERLINK("https://twitter.com/laura_sevillano/status/1071341668081811456","1071341668081811456")</f>
        <v>1071341668081811456</v>
      </c>
      <c r="F115" s="16" t="s">
        <v>126</v>
      </c>
      <c r="G115" s="16" t="s">
        <v>127</v>
      </c>
      <c r="H115" s="11"/>
      <c r="I115" s="12">
        <v>0</v>
      </c>
      <c r="J115" s="12">
        <v>0</v>
      </c>
      <c r="K115" s="13" t="str">
        <f t="shared" ref="K115:K117" si="33">HYPERLINK("http://twitter.com/download/android","Twitter for Android")</f>
        <v>Twitter for Android</v>
      </c>
      <c r="L115" s="12">
        <v>688</v>
      </c>
      <c r="M115" s="12">
        <v>1107</v>
      </c>
      <c r="N115" s="12">
        <v>2</v>
      </c>
      <c r="O115" s="14"/>
      <c r="P115" s="6">
        <v>40600.936041666668</v>
      </c>
      <c r="Q115" s="15" t="s">
        <v>464</v>
      </c>
      <c r="R115" s="17" t="s">
        <v>465</v>
      </c>
      <c r="S115" s="11"/>
      <c r="T115" s="11"/>
      <c r="U115" s="10" t="str">
        <f>HYPERLINK("https://pbs.twimg.com/profile_images/976899636446334976/7lFoCt_4.jpg","View")</f>
        <v>View</v>
      </c>
    </row>
    <row r="116" spans="1:21" ht="40.799999999999997">
      <c r="A116" s="6">
        <v>43442.450381944444</v>
      </c>
      <c r="B116" s="7" t="str">
        <f>HYPERLINK("https://twitter.com/VikingoRMad13","@VikingoRMad13")</f>
        <v>@VikingoRMad13</v>
      </c>
      <c r="C116" s="8" t="s">
        <v>466</v>
      </c>
      <c r="D116" s="9" t="s">
        <v>467</v>
      </c>
      <c r="E116" s="10" t="str">
        <f>HYPERLINK("https://twitter.com/VikingoRMad13/status/1071340748946243585","1071340748946243585")</f>
        <v>1071340748946243585</v>
      </c>
      <c r="F116" s="16" t="s">
        <v>468</v>
      </c>
      <c r="G116" s="16" t="s">
        <v>469</v>
      </c>
      <c r="H116" s="11"/>
      <c r="I116" s="12">
        <v>0</v>
      </c>
      <c r="J116" s="12">
        <v>0</v>
      </c>
      <c r="K116" s="13" t="str">
        <f t="shared" si="33"/>
        <v>Twitter for Android</v>
      </c>
      <c r="L116" s="12">
        <v>599</v>
      </c>
      <c r="M116" s="12">
        <v>909</v>
      </c>
      <c r="N116" s="12">
        <v>11</v>
      </c>
      <c r="O116" s="14"/>
      <c r="P116" s="6">
        <v>42086.000162037039</v>
      </c>
      <c r="Q116" s="11"/>
      <c r="R116" s="17" t="s">
        <v>470</v>
      </c>
      <c r="S116" s="11"/>
      <c r="T116" s="11"/>
      <c r="U116" s="10" t="str">
        <f>HYPERLINK("https://pbs.twimg.com/profile_images/1035621615713902592/KlKLByjE.jpg","View")</f>
        <v>View</v>
      </c>
    </row>
    <row r="117" spans="1:21" ht="71.400000000000006">
      <c r="A117" s="6">
        <v>43442.448009259257</v>
      </c>
      <c r="B117" s="7" t="str">
        <f>HYPERLINK("https://twitter.com/0Realista3","@0Realista3")</f>
        <v>@0Realista3</v>
      </c>
      <c r="C117" s="8" t="s">
        <v>471</v>
      </c>
      <c r="D117" s="9" t="s">
        <v>472</v>
      </c>
      <c r="E117" s="10" t="str">
        <f>HYPERLINK("https://twitter.com/0Realista3/status/1071339886412787713","1071339886412787713")</f>
        <v>1071339886412787713</v>
      </c>
      <c r="F117" s="16" t="s">
        <v>473</v>
      </c>
      <c r="G117" s="11"/>
      <c r="H117" s="11"/>
      <c r="I117" s="12">
        <v>0</v>
      </c>
      <c r="J117" s="12">
        <v>0</v>
      </c>
      <c r="K117" s="13" t="str">
        <f t="shared" si="33"/>
        <v>Twitter for Android</v>
      </c>
      <c r="L117" s="12">
        <v>142</v>
      </c>
      <c r="M117" s="12">
        <v>183</v>
      </c>
      <c r="N117" s="12">
        <v>4</v>
      </c>
      <c r="O117" s="14"/>
      <c r="P117" s="6">
        <v>43321.979270833333</v>
      </c>
      <c r="Q117" s="11"/>
      <c r="R117" s="18"/>
      <c r="S117" s="11"/>
      <c r="T117" s="11"/>
      <c r="U117" s="10" t="str">
        <f>HYPERLINK("https://pbs.twimg.com/profile_images/1027818317438959617/4exm99jw.jpg","View")</f>
        <v>View</v>
      </c>
    </row>
    <row r="118" spans="1:21" ht="40.799999999999997">
      <c r="A118" s="6">
        <v>43442.444513888884</v>
      </c>
      <c r="B118" s="7" t="str">
        <f>HYPERLINK("https://twitter.com/jordiesteban","@jordiesteban")</f>
        <v>@jordiesteban</v>
      </c>
      <c r="C118" s="8" t="s">
        <v>474</v>
      </c>
      <c r="D118" s="9" t="s">
        <v>475</v>
      </c>
      <c r="E118" s="10" t="str">
        <f>HYPERLINK("https://twitter.com/jordiesteban/status/1071338622232788992","1071338622232788992")</f>
        <v>1071338622232788992</v>
      </c>
      <c r="F118" s="15" t="s">
        <v>476</v>
      </c>
      <c r="G118" s="11"/>
      <c r="H118" s="11"/>
      <c r="I118" s="12">
        <v>0</v>
      </c>
      <c r="J118" s="12">
        <v>0</v>
      </c>
      <c r="K118" s="13" t="str">
        <f>HYPERLINK("http://twitter.com/download/iphone","Twitter for iPhone")</f>
        <v>Twitter for iPhone</v>
      </c>
      <c r="L118" s="12">
        <v>1199</v>
      </c>
      <c r="M118" s="12">
        <v>1265</v>
      </c>
      <c r="N118" s="12">
        <v>29</v>
      </c>
      <c r="O118" s="14"/>
      <c r="P118" s="6">
        <v>40196.448379629626</v>
      </c>
      <c r="Q118" s="15" t="s">
        <v>477</v>
      </c>
      <c r="R118" s="17" t="s">
        <v>478</v>
      </c>
      <c r="S118" s="16" t="s">
        <v>479</v>
      </c>
      <c r="T118" s="11"/>
      <c r="U118" s="10" t="str">
        <f>HYPERLINK("https://pbs.twimg.com/profile_images/960463846778556416/U7y6gWBm.jpg","View")</f>
        <v>View</v>
      </c>
    </row>
    <row r="119" spans="1:21" ht="20.399999999999999">
      <c r="A119" s="6">
        <v>43442.441990740743</v>
      </c>
      <c r="B119" s="7" t="str">
        <f>HYPERLINK("https://twitter.com/nomasmentirasya","@nomasmentirasya")</f>
        <v>@nomasmentirasya</v>
      </c>
      <c r="C119" s="8" t="s">
        <v>480</v>
      </c>
      <c r="D119" s="9" t="s">
        <v>481</v>
      </c>
      <c r="E119" s="10" t="str">
        <f>HYPERLINK("https://twitter.com/nomasmentirasya/status/1071337707438309377","1071337707438309377")</f>
        <v>1071337707438309377</v>
      </c>
      <c r="F119" s="16" t="s">
        <v>482</v>
      </c>
      <c r="G119" s="11"/>
      <c r="H119" s="11"/>
      <c r="I119" s="12">
        <v>0</v>
      </c>
      <c r="J119" s="12">
        <v>0</v>
      </c>
      <c r="K119" s="13" t="str">
        <f t="shared" ref="K119:K120" si="34">HYPERLINK("http://twitter.com/download/android","Twitter for Android")</f>
        <v>Twitter for Android</v>
      </c>
      <c r="L119" s="12">
        <v>197</v>
      </c>
      <c r="M119" s="12">
        <v>114</v>
      </c>
      <c r="N119" s="12">
        <v>3</v>
      </c>
      <c r="O119" s="14"/>
      <c r="P119" s="6">
        <v>42636.998344907406</v>
      </c>
      <c r="Q119" s="11"/>
      <c r="R119" s="17" t="s">
        <v>483</v>
      </c>
      <c r="S119" s="11"/>
      <c r="T119" s="11"/>
      <c r="U119" s="10" t="str">
        <f>HYPERLINK("https://pbs.twimg.com/profile_images/779448915217289216/FccjvbJ7.jpg","View")</f>
        <v>View</v>
      </c>
    </row>
    <row r="120" spans="1:21" ht="20.399999999999999">
      <c r="A120" s="6">
        <v>43442.440763888888</v>
      </c>
      <c r="B120" s="7" t="str">
        <f>HYPERLINK("https://twitter.com/fausti_la","@fausti_la")</f>
        <v>@fausti_la</v>
      </c>
      <c r="C120" s="8" t="s">
        <v>484</v>
      </c>
      <c r="D120" s="9" t="s">
        <v>485</v>
      </c>
      <c r="E120" s="10" t="str">
        <f>HYPERLINK("https://twitter.com/fausti_la/status/1071337262456164352","1071337262456164352")</f>
        <v>1071337262456164352</v>
      </c>
      <c r="F120" s="11"/>
      <c r="G120" s="11"/>
      <c r="H120" s="11"/>
      <c r="I120" s="12">
        <v>1</v>
      </c>
      <c r="J120" s="12">
        <v>7</v>
      </c>
      <c r="K120" s="13" t="str">
        <f t="shared" si="34"/>
        <v>Twitter for Android</v>
      </c>
      <c r="L120" s="12">
        <v>661</v>
      </c>
      <c r="M120" s="12">
        <v>355</v>
      </c>
      <c r="N120" s="12">
        <v>4</v>
      </c>
      <c r="O120" s="14"/>
      <c r="P120" s="6">
        <v>43226.650995370372</v>
      </c>
      <c r="Q120" s="15" t="s">
        <v>486</v>
      </c>
      <c r="R120" s="17" t="s">
        <v>487</v>
      </c>
      <c r="S120" s="11"/>
      <c r="T120" s="11"/>
      <c r="U120" s="10" t="str">
        <f>HYPERLINK("https://pbs.twimg.com/profile_images/1056860780241604608/LAzbsqOK.jpg","View")</f>
        <v>View</v>
      </c>
    </row>
    <row r="121" spans="1:21" ht="40.799999999999997">
      <c r="A121" s="6">
        <v>43442.438703703709</v>
      </c>
      <c r="B121" s="7" t="str">
        <f>HYPERLINK("https://twitter.com/jemahuja","@jemahuja")</f>
        <v>@jemahuja</v>
      </c>
      <c r="C121" s="8" t="s">
        <v>488</v>
      </c>
      <c r="D121" s="9" t="s">
        <v>489</v>
      </c>
      <c r="E121" s="10" t="str">
        <f>HYPERLINK("https://twitter.com/jemahuja/status/1071336516193083392","1071336516193083392")</f>
        <v>1071336516193083392</v>
      </c>
      <c r="F121" s="16" t="s">
        <v>490</v>
      </c>
      <c r="G121" s="11"/>
      <c r="H121" s="11"/>
      <c r="I121" s="12">
        <v>1</v>
      </c>
      <c r="J121" s="12">
        <v>1</v>
      </c>
      <c r="K121" s="13" t="str">
        <f>HYPERLINK("http://www.facebook.com/twitter","Facebook")</f>
        <v>Facebook</v>
      </c>
      <c r="L121" s="12">
        <v>4865</v>
      </c>
      <c r="M121" s="12">
        <v>5077</v>
      </c>
      <c r="N121" s="12">
        <v>69</v>
      </c>
      <c r="O121" s="14"/>
      <c r="P121" s="6">
        <v>40624.647256944445</v>
      </c>
      <c r="Q121" s="11"/>
      <c r="R121" s="17" t="s">
        <v>491</v>
      </c>
      <c r="S121" s="16" t="s">
        <v>492</v>
      </c>
      <c r="T121" s="11"/>
      <c r="U121" s="10" t="str">
        <f>HYPERLINK("https://pbs.twimg.com/profile_images/979014863442907137/Qus9jozf.jpg","View")</f>
        <v>View</v>
      </c>
    </row>
    <row r="122" spans="1:21" ht="30.6">
      <c r="A122" s="6">
        <v>43442.43712962963</v>
      </c>
      <c r="B122" s="7" t="str">
        <f>HYPERLINK("https://twitter.com/InLibertatem","@InLibertatem")</f>
        <v>@InLibertatem</v>
      </c>
      <c r="C122" s="8" t="s">
        <v>493</v>
      </c>
      <c r="D122" s="9" t="s">
        <v>494</v>
      </c>
      <c r="E122" s="10" t="str">
        <f>HYPERLINK("https://twitter.com/InLibertatem/status/1071335943704117248","1071335943704117248")</f>
        <v>1071335943704117248</v>
      </c>
      <c r="F122" s="11"/>
      <c r="G122" s="16" t="s">
        <v>495</v>
      </c>
      <c r="H122" s="11"/>
      <c r="I122" s="12">
        <v>0</v>
      </c>
      <c r="J122" s="12">
        <v>3</v>
      </c>
      <c r="K122" s="13" t="str">
        <f>HYPERLINK("http://twitter.com","Twitter Web Client")</f>
        <v>Twitter Web Client</v>
      </c>
      <c r="L122" s="12">
        <v>7610</v>
      </c>
      <c r="M122" s="12">
        <v>280</v>
      </c>
      <c r="N122" s="12">
        <v>51</v>
      </c>
      <c r="O122" s="14"/>
      <c r="P122" s="6">
        <v>41121.592812499999</v>
      </c>
      <c r="Q122" s="15" t="s">
        <v>496</v>
      </c>
      <c r="R122" s="17" t="s">
        <v>497</v>
      </c>
      <c r="S122" s="11"/>
      <c r="T122" s="11"/>
      <c r="U122" s="10" t="str">
        <f>HYPERLINK("https://pbs.twimg.com/profile_images/1070729371235876865/F7kJZC-a.jpg","View")</f>
        <v>View</v>
      </c>
    </row>
    <row r="123" spans="1:21" ht="81.599999999999994">
      <c r="A123" s="6">
        <v>43442.431307870371</v>
      </c>
      <c r="B123" s="7" t="str">
        <f>HYPERLINK("https://twitter.com/pirlosantos","@pirlosantos")</f>
        <v>@pirlosantos</v>
      </c>
      <c r="C123" s="8" t="s">
        <v>498</v>
      </c>
      <c r="D123" s="9" t="s">
        <v>499</v>
      </c>
      <c r="E123" s="10" t="str">
        <f>HYPERLINK("https://twitter.com/pirlosantos/status/1071333834401218562","1071333834401218562")</f>
        <v>1071333834401218562</v>
      </c>
      <c r="F123" s="16" t="s">
        <v>500</v>
      </c>
      <c r="G123" s="11"/>
      <c r="H123" s="11"/>
      <c r="I123" s="12">
        <v>1</v>
      </c>
      <c r="J123" s="12">
        <v>2</v>
      </c>
      <c r="K123" s="13" t="str">
        <f t="shared" ref="K123:K124" si="35">HYPERLINK("http://twitter.com/download/android","Twitter for Android")</f>
        <v>Twitter for Android</v>
      </c>
      <c r="L123" s="12">
        <v>4921</v>
      </c>
      <c r="M123" s="12">
        <v>983</v>
      </c>
      <c r="N123" s="12">
        <v>64</v>
      </c>
      <c r="O123" s="14"/>
      <c r="P123" s="6">
        <v>40124.738032407404</v>
      </c>
      <c r="Q123" s="15" t="s">
        <v>501</v>
      </c>
      <c r="R123" s="17" t="s">
        <v>502</v>
      </c>
      <c r="S123" s="11"/>
      <c r="T123" s="11"/>
      <c r="U123" s="10" t="str">
        <f>HYPERLINK("https://pbs.twimg.com/profile_images/873499683397787649/l6xOm47c.jpg","View")</f>
        <v>View</v>
      </c>
    </row>
    <row r="124" spans="1:21" ht="81.599999999999994">
      <c r="A124" s="6">
        <v>43442.431030092594</v>
      </c>
      <c r="B124" s="7" t="str">
        <f>HYPERLINK("https://twitter.com/juanbilbo","@juanbilbo")</f>
        <v>@juanbilbo</v>
      </c>
      <c r="C124" s="8" t="s">
        <v>503</v>
      </c>
      <c r="D124" s="9" t="s">
        <v>504</v>
      </c>
      <c r="E124" s="10" t="str">
        <f>HYPERLINK("https://twitter.com/juanbilbo/status/1071333734098583552","1071333734098583552")</f>
        <v>1071333734098583552</v>
      </c>
      <c r="F124" s="16" t="s">
        <v>505</v>
      </c>
      <c r="G124" s="16" t="s">
        <v>506</v>
      </c>
      <c r="H124" s="11"/>
      <c r="I124" s="12">
        <v>0</v>
      </c>
      <c r="J124" s="12">
        <v>0</v>
      </c>
      <c r="K124" s="13" t="str">
        <f t="shared" si="35"/>
        <v>Twitter for Android</v>
      </c>
      <c r="L124" s="12">
        <v>477</v>
      </c>
      <c r="M124" s="12">
        <v>408</v>
      </c>
      <c r="N124" s="12">
        <v>11</v>
      </c>
      <c r="O124" s="14"/>
      <c r="P124" s="6">
        <v>40505.746388888889</v>
      </c>
      <c r="Q124" s="15" t="s">
        <v>507</v>
      </c>
      <c r="R124" s="17" t="s">
        <v>508</v>
      </c>
      <c r="S124" s="11"/>
      <c r="T124" s="11"/>
      <c r="U124" s="10" t="str">
        <f>HYPERLINK("https://pbs.twimg.com/profile_images/1061991814008320000/vBL-dyKb.jpg","View")</f>
        <v>View</v>
      </c>
    </row>
    <row r="125" spans="1:21" ht="30.6">
      <c r="A125" s="6">
        <v>43442.428159722222</v>
      </c>
      <c r="B125" s="7" t="str">
        <f>HYPERLINK("https://twitter.com/carmentorrres","@carmentorrres")</f>
        <v>@carmentorrres</v>
      </c>
      <c r="C125" s="8" t="s">
        <v>509</v>
      </c>
      <c r="D125" s="9" t="s">
        <v>510</v>
      </c>
      <c r="E125" s="10" t="str">
        <f>HYPERLINK("https://twitter.com/carmentorrres/status/1071332694578073600","1071332694578073600")</f>
        <v>1071332694578073600</v>
      </c>
      <c r="F125" s="16" t="s">
        <v>511</v>
      </c>
      <c r="G125" s="11"/>
      <c r="H125" s="11"/>
      <c r="I125" s="12">
        <v>1</v>
      </c>
      <c r="J125" s="12">
        <v>0</v>
      </c>
      <c r="K125" s="13" t="str">
        <f t="shared" ref="K125:K126" si="36">HYPERLINK("http://twitter.com/download/iphone","Twitter for iPhone")</f>
        <v>Twitter for iPhone</v>
      </c>
      <c r="L125" s="12">
        <v>9797</v>
      </c>
      <c r="M125" s="12">
        <v>2656</v>
      </c>
      <c r="N125" s="12">
        <v>271</v>
      </c>
      <c r="O125" s="14"/>
      <c r="P125" s="6">
        <v>40670.752314814818</v>
      </c>
      <c r="Q125" s="11"/>
      <c r="R125" s="17" t="s">
        <v>512</v>
      </c>
      <c r="S125" s="16" t="s">
        <v>513</v>
      </c>
      <c r="T125" s="11"/>
      <c r="U125" s="10" t="str">
        <f>HYPERLINK("https://pbs.twimg.com/profile_images/1036877914200059907/rvJfFmsF.jpg","View")</f>
        <v>View</v>
      </c>
    </row>
    <row r="126" spans="1:21" ht="61.2">
      <c r="A126" s="6">
        <v>43442.427986111114</v>
      </c>
      <c r="B126" s="7" t="str">
        <f>HYPERLINK("https://twitter.com/maxpradera","@maxpradera")</f>
        <v>@maxpradera</v>
      </c>
      <c r="C126" s="8" t="s">
        <v>514</v>
      </c>
      <c r="D126" s="9" t="s">
        <v>515</v>
      </c>
      <c r="E126" s="10" t="str">
        <f>HYPERLINK("https://twitter.com/maxpradera/status/1071332630782754816","1071332630782754816")</f>
        <v>1071332630782754816</v>
      </c>
      <c r="F126" s="16" t="s">
        <v>516</v>
      </c>
      <c r="G126" s="16" t="s">
        <v>517</v>
      </c>
      <c r="H126" s="11"/>
      <c r="I126" s="12">
        <v>77</v>
      </c>
      <c r="J126" s="12">
        <v>86</v>
      </c>
      <c r="K126" s="13" t="str">
        <f t="shared" si="36"/>
        <v>Twitter for iPhone</v>
      </c>
      <c r="L126" s="12">
        <v>101901</v>
      </c>
      <c r="M126" s="12">
        <v>1775</v>
      </c>
      <c r="N126" s="12">
        <v>1608</v>
      </c>
      <c r="O126" s="23" t="s">
        <v>89</v>
      </c>
      <c r="P126" s="6">
        <v>40702.053414351853</v>
      </c>
      <c r="Q126" s="15" t="s">
        <v>518</v>
      </c>
      <c r="R126" s="17" t="s">
        <v>519</v>
      </c>
      <c r="S126" s="16" t="s">
        <v>520</v>
      </c>
      <c r="T126" s="11"/>
      <c r="U126" s="10" t="str">
        <f>HYPERLINK("https://pbs.twimg.com/profile_images/1065382057319243777/G0W1w4Ng.jpg","View")</f>
        <v>View</v>
      </c>
    </row>
    <row r="127" spans="1:21" ht="40.799999999999997">
      <c r="A127" s="6">
        <v>43442.427395833336</v>
      </c>
      <c r="B127" s="7" t="str">
        <f>HYPERLINK("https://twitter.com/CErauso","@CErauso")</f>
        <v>@CErauso</v>
      </c>
      <c r="C127" s="8" t="s">
        <v>521</v>
      </c>
      <c r="D127" s="9" t="s">
        <v>522</v>
      </c>
      <c r="E127" s="10" t="str">
        <f>HYPERLINK("https://twitter.com/CErauso/status/1071332417951145984","1071332417951145984")</f>
        <v>1071332417951145984</v>
      </c>
      <c r="F127" s="16" t="s">
        <v>523</v>
      </c>
      <c r="G127" s="11"/>
      <c r="H127" s="11"/>
      <c r="I127" s="12">
        <v>0</v>
      </c>
      <c r="J127" s="12">
        <v>0</v>
      </c>
      <c r="K127" s="13" t="str">
        <f>HYPERLINK("http://twitter.com","Twitter Web Client")</f>
        <v>Twitter Web Client</v>
      </c>
      <c r="L127" s="12">
        <v>129</v>
      </c>
      <c r="M127" s="12">
        <v>108</v>
      </c>
      <c r="N127" s="12">
        <v>2</v>
      </c>
      <c r="O127" s="14"/>
      <c r="P127" s="6">
        <v>43309.80773148148</v>
      </c>
      <c r="Q127" s="15" t="s">
        <v>524</v>
      </c>
      <c r="R127" s="17" t="s">
        <v>525</v>
      </c>
      <c r="S127" s="16" t="s">
        <v>526</v>
      </c>
      <c r="T127" s="11"/>
      <c r="U127" s="10" t="str">
        <f>HYPERLINK("https://pbs.twimg.com/profile_images/1023258523537432576/yPjUXbEI.jpg","View")</f>
        <v>View</v>
      </c>
    </row>
    <row r="128" spans="1:21" ht="40.799999999999997">
      <c r="A128" s="6">
        <v>43442.422222222223</v>
      </c>
      <c r="B128" s="7" t="str">
        <f>HYPERLINK("https://twitter.com/euskaltelebista","@euskaltelebista")</f>
        <v>@euskaltelebista</v>
      </c>
      <c r="C128" s="8" t="s">
        <v>527</v>
      </c>
      <c r="D128" s="9" t="s">
        <v>528</v>
      </c>
      <c r="E128" s="10" t="str">
        <f>HYPERLINK("https://twitter.com/euskaltelebista/status/1071330542463913984","1071330542463913984")</f>
        <v>1071330542463913984</v>
      </c>
      <c r="F128" s="16" t="s">
        <v>529</v>
      </c>
      <c r="G128" s="16" t="s">
        <v>530</v>
      </c>
      <c r="H128" s="11"/>
      <c r="I128" s="12">
        <v>0</v>
      </c>
      <c r="J128" s="12">
        <v>0</v>
      </c>
      <c r="K128" s="13" t="str">
        <f>HYPERLINK("https://about.twitter.com/products/tweetdeck","TweetDeck")</f>
        <v>TweetDeck</v>
      </c>
      <c r="L128" s="12">
        <v>31798</v>
      </c>
      <c r="M128" s="12">
        <v>163</v>
      </c>
      <c r="N128" s="12">
        <v>441</v>
      </c>
      <c r="O128" s="23" t="s">
        <v>89</v>
      </c>
      <c r="P128" s="6">
        <v>39953.496041666665</v>
      </c>
      <c r="Q128" s="15" t="s">
        <v>531</v>
      </c>
      <c r="R128" s="17" t="s">
        <v>532</v>
      </c>
      <c r="S128" s="16" t="s">
        <v>533</v>
      </c>
      <c r="T128" s="11"/>
      <c r="U128" s="10" t="str">
        <f>HYPERLINK("https://pbs.twimg.com/profile_images/972030797053120513/TcDrfunb.jpg","View")</f>
        <v>View</v>
      </c>
    </row>
    <row r="129" spans="1:21" ht="51">
      <c r="A129" s="6">
        <v>43442.421643518523</v>
      </c>
      <c r="B129" s="7" t="str">
        <f>HYPERLINK("https://twitter.com/ikerbest","@ikerbest")</f>
        <v>@ikerbest</v>
      </c>
      <c r="C129" s="8" t="s">
        <v>534</v>
      </c>
      <c r="D129" s="9" t="s">
        <v>535</v>
      </c>
      <c r="E129" s="10" t="str">
        <f>HYPERLINK("https://twitter.com/ikerbest/status/1071330334992670720","1071330334992670720")</f>
        <v>1071330334992670720</v>
      </c>
      <c r="F129" s="16" t="s">
        <v>536</v>
      </c>
      <c r="G129" s="11"/>
      <c r="H129" s="11"/>
      <c r="I129" s="12">
        <v>0</v>
      </c>
      <c r="J129" s="12">
        <v>0</v>
      </c>
      <c r="K129" s="13" t="str">
        <f>HYPERLINK("http://twitter.com/download/android","Twitter for Android")</f>
        <v>Twitter for Android</v>
      </c>
      <c r="L129" s="12">
        <v>1032</v>
      </c>
      <c r="M129" s="12">
        <v>545</v>
      </c>
      <c r="N129" s="12">
        <v>16</v>
      </c>
      <c r="O129" s="14"/>
      <c r="P129" s="6">
        <v>40401.820983796293</v>
      </c>
      <c r="Q129" s="15" t="s">
        <v>537</v>
      </c>
      <c r="R129" s="17" t="s">
        <v>538</v>
      </c>
      <c r="S129" s="11"/>
      <c r="T129" s="11"/>
      <c r="U129" s="10" t="str">
        <f>HYPERLINK("https://pbs.twimg.com/profile_images/986541540347662336/O0dDNlL7.jpg","View")</f>
        <v>View</v>
      </c>
    </row>
    <row r="130" spans="1:21" ht="71.400000000000006">
      <c r="A130" s="6">
        <v>43442.419444444444</v>
      </c>
      <c r="B130" s="7" t="str">
        <f>HYPERLINK("https://twitter.com/ATCoco2017","@ATCoco2017")</f>
        <v>@ATCoco2017</v>
      </c>
      <c r="C130" s="8" t="s">
        <v>539</v>
      </c>
      <c r="D130" s="9" t="s">
        <v>540</v>
      </c>
      <c r="E130" s="10" t="str">
        <f>HYPERLINK("https://twitter.com/ATCoco2017/status/1071329538007805953","1071329538007805953")</f>
        <v>1071329538007805953</v>
      </c>
      <c r="F130" s="16" t="s">
        <v>541</v>
      </c>
      <c r="G130" s="16" t="s">
        <v>542</v>
      </c>
      <c r="H130" s="11"/>
      <c r="I130" s="12">
        <v>0</v>
      </c>
      <c r="J130" s="12">
        <v>1</v>
      </c>
      <c r="K130" s="13" t="str">
        <f>HYPERLINK("http://twitter.com/download/iphone","Twitter for iPhone")</f>
        <v>Twitter for iPhone</v>
      </c>
      <c r="L130" s="12">
        <v>345</v>
      </c>
      <c r="M130" s="12">
        <v>88</v>
      </c>
      <c r="N130" s="12">
        <v>4</v>
      </c>
      <c r="O130" s="14"/>
      <c r="P130" s="6">
        <v>43012.361898148149</v>
      </c>
      <c r="Q130" s="15" t="s">
        <v>364</v>
      </c>
      <c r="R130" s="18"/>
      <c r="S130" s="11"/>
      <c r="T130" s="11"/>
      <c r="U130" s="10" t="str">
        <f>HYPERLINK("https://pbs.twimg.com/profile_images/953191161405026304/WmZYMXL5.jpg","View")</f>
        <v>View</v>
      </c>
    </row>
    <row r="131" spans="1:21" ht="51">
      <c r="A131" s="6">
        <v>43442.41805555555</v>
      </c>
      <c r="B131" s="7" t="str">
        <f t="shared" ref="B131:B132" si="37">HYPERLINK("https://twitter.com/bitMomentum","@bitMomentum")</f>
        <v>@bitMomentum</v>
      </c>
      <c r="C131" s="8" t="s">
        <v>82</v>
      </c>
      <c r="D131" s="9" t="s">
        <v>543</v>
      </c>
      <c r="E131" s="10" t="str">
        <f>HYPERLINK("https://twitter.com/bitMomentum/status/1071329031809843200","1071329031809843200")</f>
        <v>1071329031809843200</v>
      </c>
      <c r="F131" s="11"/>
      <c r="G131" s="11"/>
      <c r="H131" s="11"/>
      <c r="I131" s="12">
        <v>0</v>
      </c>
      <c r="J131" s="12">
        <v>0</v>
      </c>
      <c r="K131" s="13" t="str">
        <f t="shared" ref="K131:K132" si="38">HYPERLINK("http://www.bitmomentum.com","bitMomentum Bot")</f>
        <v>bitMomentum Bot</v>
      </c>
      <c r="L131" s="12">
        <v>10253</v>
      </c>
      <c r="M131" s="12">
        <v>1059</v>
      </c>
      <c r="N131" s="12">
        <v>263</v>
      </c>
      <c r="O131" s="14"/>
      <c r="P131" s="6">
        <v>41608.667511574073</v>
      </c>
      <c r="Q131" s="11"/>
      <c r="R131" s="17" t="s">
        <v>84</v>
      </c>
      <c r="S131" s="16" t="s">
        <v>85</v>
      </c>
      <c r="T131" s="11"/>
      <c r="U131" s="10" t="str">
        <f t="shared" ref="U131:U132" si="39">HYPERLINK("https://pbs.twimg.com/profile_images/378800000862185241/20ij2H3u.png","View")</f>
        <v>View</v>
      </c>
    </row>
    <row r="132" spans="1:21" ht="51">
      <c r="A132" s="6">
        <v>43442.417361111111</v>
      </c>
      <c r="B132" s="7" t="str">
        <f t="shared" si="37"/>
        <v>@bitMomentum</v>
      </c>
      <c r="C132" s="8" t="s">
        <v>82</v>
      </c>
      <c r="D132" s="9" t="s">
        <v>544</v>
      </c>
      <c r="E132" s="10" t="str">
        <f>HYPERLINK("https://twitter.com/bitMomentum/status/1071328780172566529","1071328780172566529")</f>
        <v>1071328780172566529</v>
      </c>
      <c r="F132" s="11"/>
      <c r="G132" s="11"/>
      <c r="H132" s="11"/>
      <c r="I132" s="12">
        <v>1</v>
      </c>
      <c r="J132" s="12">
        <v>1</v>
      </c>
      <c r="K132" s="13" t="str">
        <f t="shared" si="38"/>
        <v>bitMomentum Bot</v>
      </c>
      <c r="L132" s="12">
        <v>10253</v>
      </c>
      <c r="M132" s="12">
        <v>1059</v>
      </c>
      <c r="N132" s="12">
        <v>263</v>
      </c>
      <c r="O132" s="14"/>
      <c r="P132" s="6">
        <v>41608.667511574073</v>
      </c>
      <c r="Q132" s="11"/>
      <c r="R132" s="17" t="s">
        <v>84</v>
      </c>
      <c r="S132" s="16" t="s">
        <v>85</v>
      </c>
      <c r="T132" s="11"/>
      <c r="U132" s="10" t="str">
        <f t="shared" si="39"/>
        <v>View</v>
      </c>
    </row>
    <row r="133" spans="1:21" ht="51">
      <c r="A133" s="6">
        <v>43442.416134259256</v>
      </c>
      <c r="B133" s="7" t="str">
        <f>HYPERLINK("https://twitter.com/echeminga","@echeminga")</f>
        <v>@echeminga</v>
      </c>
      <c r="C133" s="8" t="s">
        <v>545</v>
      </c>
      <c r="D133" s="9" t="s">
        <v>546</v>
      </c>
      <c r="E133" s="10" t="str">
        <f>HYPERLINK("https://twitter.com/echeminga/status/1071328338487193600","1071328338487193600")</f>
        <v>1071328338487193600</v>
      </c>
      <c r="F133" s="11"/>
      <c r="G133" s="16" t="s">
        <v>547</v>
      </c>
      <c r="H133" s="11"/>
      <c r="I133" s="12">
        <v>4</v>
      </c>
      <c r="J133" s="12">
        <v>6</v>
      </c>
      <c r="K133" s="13" t="str">
        <f t="shared" ref="K133:K136" si="40">HYPERLINK("http://twitter.com/download/android","Twitter for Android")</f>
        <v>Twitter for Android</v>
      </c>
      <c r="L133" s="12">
        <v>3038</v>
      </c>
      <c r="M133" s="12">
        <v>4248</v>
      </c>
      <c r="N133" s="12">
        <v>4</v>
      </c>
      <c r="O133" s="14"/>
      <c r="P133" s="6">
        <v>42712.931643518517</v>
      </c>
      <c r="Q133" s="15" t="s">
        <v>548</v>
      </c>
      <c r="R133" s="17" t="s">
        <v>549</v>
      </c>
      <c r="S133" s="11"/>
      <c r="T133" s="11"/>
      <c r="U133" s="10" t="str">
        <f>HYPERLINK("https://pbs.twimg.com/profile_images/808019047166132224/u4MzcGPa.jpg","View")</f>
        <v>View</v>
      </c>
    </row>
    <row r="134" spans="1:21" ht="30.6">
      <c r="A134" s="6">
        <v>43442.413310185184</v>
      </c>
      <c r="B134" s="7" t="str">
        <f>HYPERLINK("https://twitter.com/LafalamoLuis","@LafalamoLuis")</f>
        <v>@LafalamoLuis</v>
      </c>
      <c r="C134" s="8" t="s">
        <v>550</v>
      </c>
      <c r="D134" s="9" t="s">
        <v>551</v>
      </c>
      <c r="E134" s="10" t="str">
        <f>HYPERLINK("https://twitter.com/LafalamoLuis/status/1071327315609702403","1071327315609702403")</f>
        <v>1071327315609702403</v>
      </c>
      <c r="F134" s="16" t="s">
        <v>482</v>
      </c>
      <c r="G134" s="11"/>
      <c r="H134" s="11"/>
      <c r="I134" s="12">
        <v>0</v>
      </c>
      <c r="J134" s="12">
        <v>0</v>
      </c>
      <c r="K134" s="13" t="str">
        <f t="shared" si="40"/>
        <v>Twitter for Android</v>
      </c>
      <c r="L134" s="12">
        <v>95</v>
      </c>
      <c r="M134" s="12">
        <v>156</v>
      </c>
      <c r="N134" s="12">
        <v>4</v>
      </c>
      <c r="O134" s="14"/>
      <c r="P134" s="6">
        <v>41721.639166666668</v>
      </c>
      <c r="Q134" s="15" t="s">
        <v>197</v>
      </c>
      <c r="R134" s="17" t="s">
        <v>552</v>
      </c>
      <c r="S134" s="11"/>
      <c r="T134" s="11"/>
      <c r="U134" s="10" t="str">
        <f>HYPERLINK("https://pbs.twimg.com/profile_images/925003533958729728/ERe164vi.jpg","View")</f>
        <v>View</v>
      </c>
    </row>
    <row r="135" spans="1:21" ht="51">
      <c r="A135" s="6">
        <v>43442.409826388888</v>
      </c>
      <c r="B135" s="7" t="str">
        <f>HYPERLINK("https://twitter.com/AsturiVox","@AsturiVox")</f>
        <v>@AsturiVox</v>
      </c>
      <c r="C135" s="8" t="s">
        <v>553</v>
      </c>
      <c r="D135" s="9" t="s">
        <v>554</v>
      </c>
      <c r="E135" s="10" t="str">
        <f>HYPERLINK("https://twitter.com/AsturiVox/status/1071326050653749248","1071326050653749248")</f>
        <v>1071326050653749248</v>
      </c>
      <c r="F135" s="11"/>
      <c r="G135" s="16" t="s">
        <v>555</v>
      </c>
      <c r="H135" s="11"/>
      <c r="I135" s="12">
        <v>0</v>
      </c>
      <c r="J135" s="12">
        <v>1</v>
      </c>
      <c r="K135" s="13" t="str">
        <f t="shared" si="40"/>
        <v>Twitter for Android</v>
      </c>
      <c r="L135" s="12">
        <v>8</v>
      </c>
      <c r="M135" s="12">
        <v>29</v>
      </c>
      <c r="N135" s="12">
        <v>0</v>
      </c>
      <c r="O135" s="14"/>
      <c r="P135" s="6">
        <v>43421.479131944448</v>
      </c>
      <c r="Q135" s="11"/>
      <c r="R135" s="17" t="s">
        <v>556</v>
      </c>
      <c r="S135" s="11"/>
      <c r="T135" s="11"/>
      <c r="U135" s="10" t="str">
        <f>HYPERLINK("https://pbs.twimg.com/profile_images/1063771890597183491/kHHA8FKt.jpg","View")</f>
        <v>View</v>
      </c>
    </row>
    <row r="136" spans="1:21" ht="51">
      <c r="A136" s="6">
        <v>43442.408321759256</v>
      </c>
      <c r="B136" s="7" t="str">
        <f>HYPERLINK("https://twitter.com/coffeewithjuanj","@coffeewithjuanj")</f>
        <v>@coffeewithjuanj</v>
      </c>
      <c r="C136" s="8" t="s">
        <v>557</v>
      </c>
      <c r="D136" s="9" t="s">
        <v>558</v>
      </c>
      <c r="E136" s="10" t="str">
        <f>HYPERLINK("https://twitter.com/coffeewithjuanj/status/1071325506488975361","1071325506488975361")</f>
        <v>1071325506488975361</v>
      </c>
      <c r="F136" s="15" t="s">
        <v>559</v>
      </c>
      <c r="G136" s="11"/>
      <c r="H136" s="11"/>
      <c r="I136" s="12">
        <v>0</v>
      </c>
      <c r="J136" s="12">
        <v>0</v>
      </c>
      <c r="K136" s="13" t="str">
        <f t="shared" si="40"/>
        <v>Twitter for Android</v>
      </c>
      <c r="L136" s="12">
        <v>1749</v>
      </c>
      <c r="M136" s="12">
        <v>1764</v>
      </c>
      <c r="N136" s="12">
        <v>43</v>
      </c>
      <c r="O136" s="14"/>
      <c r="P136" s="6">
        <v>40323.021458333329</v>
      </c>
      <c r="Q136" s="15" t="s">
        <v>560</v>
      </c>
      <c r="R136" s="17" t="s">
        <v>561</v>
      </c>
      <c r="S136" s="16" t="s">
        <v>562</v>
      </c>
      <c r="T136" s="11"/>
      <c r="U136" s="10" t="str">
        <f>HYPERLINK("https://pbs.twimg.com/profile_images/1033759169483026433/MI6S2s7w.jpg","View")</f>
        <v>View</v>
      </c>
    </row>
    <row r="137" spans="1:21" ht="13.2">
      <c r="A137" s="6">
        <v>43442.405486111107</v>
      </c>
      <c r="B137" s="7" t="str">
        <f>HYPERLINK("https://twitter.com/JohnHenryKurtz","@JohnHenryKurtz")</f>
        <v>@JohnHenryKurtz</v>
      </c>
      <c r="C137" s="8" t="s">
        <v>563</v>
      </c>
      <c r="D137" s="9" t="s">
        <v>564</v>
      </c>
      <c r="E137" s="10" t="str">
        <f>HYPERLINK("https://twitter.com/JohnHenryKurtz/status/1071324479563943937","1071324479563943937")</f>
        <v>1071324479563943937</v>
      </c>
      <c r="F137" s="11"/>
      <c r="G137" s="16" t="s">
        <v>565</v>
      </c>
      <c r="H137" s="11"/>
      <c r="I137" s="12">
        <v>0</v>
      </c>
      <c r="J137" s="12">
        <v>1</v>
      </c>
      <c r="K137" s="13" t="str">
        <f>HYPERLINK("http://twitter.com","Twitter Web Client")</f>
        <v>Twitter Web Client</v>
      </c>
      <c r="L137" s="12">
        <v>620</v>
      </c>
      <c r="M137" s="12">
        <v>709</v>
      </c>
      <c r="N137" s="12">
        <v>8</v>
      </c>
      <c r="O137" s="14"/>
      <c r="P137" s="6">
        <v>41671.759097222224</v>
      </c>
      <c r="Q137" s="15" t="s">
        <v>566</v>
      </c>
      <c r="R137" s="17" t="s">
        <v>567</v>
      </c>
      <c r="S137" s="16" t="s">
        <v>568</v>
      </c>
      <c r="T137" s="11"/>
      <c r="U137" s="10" t="str">
        <f>HYPERLINK("https://pbs.twimg.com/profile_images/1060541837767860230/Jf3dY5ZS.jpg","View")</f>
        <v>View</v>
      </c>
    </row>
    <row r="138" spans="1:21" ht="61.2">
      <c r="A138" s="6">
        <v>43442.404305555552</v>
      </c>
      <c r="B138" s="7" t="str">
        <f>HYPERLINK("https://twitter.com/OneDrugo","@OneDrugo")</f>
        <v>@OneDrugo</v>
      </c>
      <c r="C138" s="8" t="s">
        <v>569</v>
      </c>
      <c r="D138" s="9" t="s">
        <v>570</v>
      </c>
      <c r="E138" s="10" t="str">
        <f>HYPERLINK("https://twitter.com/OneDrugo/status/1071324050004283393","1071324050004283393")</f>
        <v>1071324050004283393</v>
      </c>
      <c r="F138" s="16" t="s">
        <v>571</v>
      </c>
      <c r="G138" s="11"/>
      <c r="H138" s="11"/>
      <c r="I138" s="12">
        <v>0</v>
      </c>
      <c r="J138" s="12">
        <v>0</v>
      </c>
      <c r="K138" s="13" t="str">
        <f t="shared" ref="K138:K140" si="41">HYPERLINK("http://twitter.com/download/android","Twitter for Android")</f>
        <v>Twitter for Android</v>
      </c>
      <c r="L138" s="12">
        <v>370</v>
      </c>
      <c r="M138" s="12">
        <v>732</v>
      </c>
      <c r="N138" s="12">
        <v>0</v>
      </c>
      <c r="O138" s="14"/>
      <c r="P138" s="6">
        <v>40516.711886574078</v>
      </c>
      <c r="Q138" s="15" t="s">
        <v>572</v>
      </c>
      <c r="R138" s="18"/>
      <c r="S138" s="16" t="s">
        <v>573</v>
      </c>
      <c r="T138" s="11"/>
      <c r="U138" s="10" t="str">
        <f>HYPERLINK("https://pbs.twimg.com/profile_images/966842942177636352/E4lBDREy.jpg","View")</f>
        <v>View</v>
      </c>
    </row>
    <row r="139" spans="1:21" ht="61.2">
      <c r="A139" s="6">
        <v>43442.401863425926</v>
      </c>
      <c r="B139" s="7" t="str">
        <f>HYPERLINK("https://twitter.com/vsanmcs","@vsanmcs")</f>
        <v>@vsanmcs</v>
      </c>
      <c r="C139" s="8" t="s">
        <v>574</v>
      </c>
      <c r="D139" s="9" t="s">
        <v>575</v>
      </c>
      <c r="E139" s="10" t="str">
        <f>HYPERLINK("https://twitter.com/vsanmcs/status/1071323165933088769","1071323165933088769")</f>
        <v>1071323165933088769</v>
      </c>
      <c r="F139" s="11"/>
      <c r="G139" s="11"/>
      <c r="H139" s="11"/>
      <c r="I139" s="12">
        <v>4</v>
      </c>
      <c r="J139" s="12">
        <v>16</v>
      </c>
      <c r="K139" s="13" t="str">
        <f t="shared" si="41"/>
        <v>Twitter for Android</v>
      </c>
      <c r="L139" s="12">
        <v>4492</v>
      </c>
      <c r="M139" s="12">
        <v>1708</v>
      </c>
      <c r="N139" s="12">
        <v>95</v>
      </c>
      <c r="O139" s="14"/>
      <c r="P139" s="6">
        <v>41616.578159722223</v>
      </c>
      <c r="Q139" s="15" t="s">
        <v>185</v>
      </c>
      <c r="R139" s="17" t="s">
        <v>576</v>
      </c>
      <c r="S139" s="11"/>
      <c r="T139" s="11"/>
      <c r="U139" s="10" t="str">
        <f>HYPERLINK("https://pbs.twimg.com/profile_images/991729796936798208/UT6QWNKK.jpg","View")</f>
        <v>View</v>
      </c>
    </row>
    <row r="140" spans="1:21" ht="20.399999999999999">
      <c r="A140" s="6">
        <v>43442.397199074076</v>
      </c>
      <c r="B140" s="7" t="str">
        <f>HYPERLINK("https://twitter.com/VillaverdeMu","@VillaverdeMu")</f>
        <v>@VillaverdeMu</v>
      </c>
      <c r="C140" s="8" t="s">
        <v>577</v>
      </c>
      <c r="D140" s="9" t="s">
        <v>578</v>
      </c>
      <c r="E140" s="10" t="str">
        <f>HYPERLINK("https://twitter.com/VillaverdeMu/status/1071321476924624896","1071321476924624896")</f>
        <v>1071321476924624896</v>
      </c>
      <c r="F140" s="11"/>
      <c r="G140" s="16" t="s">
        <v>579</v>
      </c>
      <c r="H140" s="11"/>
      <c r="I140" s="12">
        <v>0</v>
      </c>
      <c r="J140" s="12">
        <v>2</v>
      </c>
      <c r="K140" s="13" t="str">
        <f t="shared" si="41"/>
        <v>Twitter for Android</v>
      </c>
      <c r="L140" s="12">
        <v>338</v>
      </c>
      <c r="M140" s="12">
        <v>621</v>
      </c>
      <c r="N140" s="12">
        <v>1</v>
      </c>
      <c r="O140" s="14"/>
      <c r="P140" s="6">
        <v>42897.022974537038</v>
      </c>
      <c r="Q140" s="15" t="s">
        <v>580</v>
      </c>
      <c r="R140" s="17" t="s">
        <v>581</v>
      </c>
      <c r="S140" s="11"/>
      <c r="T140" s="11"/>
      <c r="U140" s="10" t="str">
        <f>HYPERLINK("https://pbs.twimg.com/profile_images/1070100565433167874/-eDIKFZh.jpg","View")</f>
        <v>View</v>
      </c>
    </row>
    <row r="141" spans="1:21" ht="30.6">
      <c r="A141" s="6">
        <v>43442.396064814813</v>
      </c>
      <c r="B141" s="7" t="str">
        <f>HYPERLINK("https://twitter.com/okdiario","@okdiario")</f>
        <v>@okdiario</v>
      </c>
      <c r="C141" s="8" t="s">
        <v>582</v>
      </c>
      <c r="D141" s="9" t="s">
        <v>583</v>
      </c>
      <c r="E141" s="10" t="str">
        <f>HYPERLINK("https://twitter.com/okdiario/status/1071321063202701312","1071321063202701312")</f>
        <v>1071321063202701312</v>
      </c>
      <c r="F141" s="16" t="s">
        <v>584</v>
      </c>
      <c r="G141" s="11"/>
      <c r="H141" s="11"/>
      <c r="I141" s="12">
        <v>180</v>
      </c>
      <c r="J141" s="12">
        <v>129</v>
      </c>
      <c r="K141" s="13" t="str">
        <f>HYPERLINK("https://www.echobox.com","Echobox Social")</f>
        <v>Echobox Social</v>
      </c>
      <c r="L141" s="12">
        <v>112411</v>
      </c>
      <c r="M141" s="12">
        <v>343</v>
      </c>
      <c r="N141" s="12">
        <v>1440</v>
      </c>
      <c r="O141" s="23" t="s">
        <v>89</v>
      </c>
      <c r="P141" s="6">
        <v>42241.708229166667</v>
      </c>
      <c r="Q141" s="11"/>
      <c r="R141" s="17" t="s">
        <v>585</v>
      </c>
      <c r="S141" s="16" t="s">
        <v>586</v>
      </c>
      <c r="T141" s="11"/>
      <c r="U141" s="10" t="str">
        <f>HYPERLINK("https://pbs.twimg.com/profile_images/789113773697208320/3LvFvi8Q.jpg","View")</f>
        <v>View</v>
      </c>
    </row>
    <row r="142" spans="1:21" ht="20.399999999999999">
      <c r="A142" s="6">
        <v>43442.392893518518</v>
      </c>
      <c r="B142" s="7" t="str">
        <f>HYPERLINK("https://twitter.com/frodo_toston","@frodo_toston")</f>
        <v>@frodo_toston</v>
      </c>
      <c r="C142" s="8" t="s">
        <v>587</v>
      </c>
      <c r="D142" s="9" t="s">
        <v>588</v>
      </c>
      <c r="E142" s="10" t="str">
        <f>HYPERLINK("https://twitter.com/frodo_toston/status/1071319913430704129","1071319913430704129")</f>
        <v>1071319913430704129</v>
      </c>
      <c r="F142" s="11"/>
      <c r="G142" s="11"/>
      <c r="H142" s="11"/>
      <c r="I142" s="12">
        <v>0</v>
      </c>
      <c r="J142" s="12">
        <v>1</v>
      </c>
      <c r="K142" s="13" t="str">
        <f>HYPERLINK("http://twitter.com/download/iphone","Twitter for iPhone")</f>
        <v>Twitter for iPhone</v>
      </c>
      <c r="L142" s="12">
        <v>2966</v>
      </c>
      <c r="M142" s="12">
        <v>1113</v>
      </c>
      <c r="N142" s="12">
        <v>35</v>
      </c>
      <c r="O142" s="14"/>
      <c r="P142" s="6">
        <v>42449.3128125</v>
      </c>
      <c r="Q142" s="15" t="s">
        <v>589</v>
      </c>
      <c r="R142" s="17" t="s">
        <v>590</v>
      </c>
      <c r="S142" s="11"/>
      <c r="T142" s="11"/>
      <c r="U142" s="10" t="str">
        <f>HYPERLINK("https://pbs.twimg.com/profile_images/1063530457407676421/y4YEzMWN.jpg","View")</f>
        <v>View</v>
      </c>
    </row>
    <row r="143" spans="1:21" ht="40.799999999999997">
      <c r="A143" s="6">
        <v>43442.39234953704</v>
      </c>
      <c r="B143" s="7" t="str">
        <f>HYPERLINK("https://twitter.com/ivanplvsvltra","@ivanplvsvltra")</f>
        <v>@ivanplvsvltra</v>
      </c>
      <c r="C143" s="8" t="s">
        <v>591</v>
      </c>
      <c r="D143" s="9" t="s">
        <v>592</v>
      </c>
      <c r="E143" s="10" t="str">
        <f>HYPERLINK("https://twitter.com/ivanplvsvltra/status/1071319718294892544","1071319718294892544")</f>
        <v>1071319718294892544</v>
      </c>
      <c r="F143" s="16" t="s">
        <v>593</v>
      </c>
      <c r="G143" s="11"/>
      <c r="H143" s="11"/>
      <c r="I143" s="12">
        <v>0</v>
      </c>
      <c r="J143" s="12">
        <v>0</v>
      </c>
      <c r="K143" s="13" t="str">
        <f t="shared" ref="K143:K144" si="42">HYPERLINK("http://twitter.com/download/android","Twitter for Android")</f>
        <v>Twitter for Android</v>
      </c>
      <c r="L143" s="12">
        <v>82</v>
      </c>
      <c r="M143" s="12">
        <v>177</v>
      </c>
      <c r="N143" s="12">
        <v>0</v>
      </c>
      <c r="O143" s="14"/>
      <c r="P143" s="6">
        <v>43009.474664351852</v>
      </c>
      <c r="Q143" s="15" t="s">
        <v>197</v>
      </c>
      <c r="R143" s="17" t="s">
        <v>594</v>
      </c>
      <c r="S143" s="11"/>
      <c r="T143" s="11"/>
      <c r="U143" s="10" t="str">
        <f>HYPERLINK("https://pbs.twimg.com/profile_images/914421213161836545/juho3nSU.jpg","View")</f>
        <v>View</v>
      </c>
    </row>
    <row r="144" spans="1:21" ht="71.400000000000006">
      <c r="A144" s="6">
        <v>43442.39225694444</v>
      </c>
      <c r="B144" s="7" t="str">
        <f>HYPERLINK("https://twitter.com/adrigvillanueva","@adrigvillanueva")</f>
        <v>@adrigvillanueva</v>
      </c>
      <c r="C144" s="8" t="s">
        <v>595</v>
      </c>
      <c r="D144" s="9" t="s">
        <v>596</v>
      </c>
      <c r="E144" s="10" t="str">
        <f>HYPERLINK("https://twitter.com/adrigvillanueva/status/1071319683134091264","1071319683134091264")</f>
        <v>1071319683134091264</v>
      </c>
      <c r="F144" s="15" t="s">
        <v>597</v>
      </c>
      <c r="G144" s="11"/>
      <c r="H144" s="11"/>
      <c r="I144" s="12">
        <v>0</v>
      </c>
      <c r="J144" s="12">
        <v>0</v>
      </c>
      <c r="K144" s="13" t="str">
        <f t="shared" si="42"/>
        <v>Twitter for Android</v>
      </c>
      <c r="L144" s="12">
        <v>61</v>
      </c>
      <c r="M144" s="12">
        <v>82</v>
      </c>
      <c r="N144" s="12">
        <v>0</v>
      </c>
      <c r="O144" s="14"/>
      <c r="P144" s="6">
        <v>43069.572962962964</v>
      </c>
      <c r="Q144" s="11"/>
      <c r="R144" s="17" t="s">
        <v>598</v>
      </c>
      <c r="S144" s="11"/>
      <c r="T144" s="11"/>
      <c r="U144" s="10" t="str">
        <f>HYPERLINK("https://pbs.twimg.com/profile_images/1065187462211866624/irA6A1Wg.jpg","View")</f>
        <v>View</v>
      </c>
    </row>
    <row r="145" spans="1:21" ht="40.799999999999997">
      <c r="A145" s="6">
        <v>43442.391666666663</v>
      </c>
      <c r="B145" s="7" t="str">
        <f>HYPERLINK("https://twitter.com/Ke_Les_Den","@Ke_Les_Den")</f>
        <v>@Ke_Les_Den</v>
      </c>
      <c r="C145" s="8" t="s">
        <v>599</v>
      </c>
      <c r="D145" s="9" t="s">
        <v>600</v>
      </c>
      <c r="E145" s="10" t="str">
        <f>HYPERLINK("https://twitter.com/Ke_Les_Den/status/1071319472210960384","1071319472210960384")</f>
        <v>1071319472210960384</v>
      </c>
      <c r="F145" s="16" t="s">
        <v>601</v>
      </c>
      <c r="G145" s="11"/>
      <c r="H145" s="11"/>
      <c r="I145" s="12">
        <v>12</v>
      </c>
      <c r="J145" s="12">
        <v>19</v>
      </c>
      <c r="K145" s="13" t="str">
        <f>HYPERLINK("http://twitter.com","Twitter Web Client")</f>
        <v>Twitter Web Client</v>
      </c>
      <c r="L145" s="12">
        <v>862</v>
      </c>
      <c r="M145" s="12">
        <v>1970</v>
      </c>
      <c r="N145" s="12">
        <v>1</v>
      </c>
      <c r="O145" s="14"/>
      <c r="P145" s="6">
        <v>42849.633483796293</v>
      </c>
      <c r="Q145" s="11"/>
      <c r="R145" s="17" t="s">
        <v>602</v>
      </c>
      <c r="S145" s="11"/>
      <c r="T145" s="11"/>
      <c r="U145" s="10" t="str">
        <f>HYPERLINK("https://pbs.twimg.com/profile_images/856777751755358208/AquT2MXe.jpg","View")</f>
        <v>View</v>
      </c>
    </row>
    <row r="146" spans="1:21" ht="81.599999999999994">
      <c r="A146" s="6">
        <v>43442.385138888887</v>
      </c>
      <c r="B146" s="7" t="str">
        <f>HYPERLINK("https://twitter.com/Darabont73","@Darabont73")</f>
        <v>@Darabont73</v>
      </c>
      <c r="C146" s="8" t="s">
        <v>603</v>
      </c>
      <c r="D146" s="9" t="s">
        <v>604</v>
      </c>
      <c r="E146" s="10" t="str">
        <f>HYPERLINK("https://twitter.com/Darabont73/status/1071317105272872960","1071317105272872960")</f>
        <v>1071317105272872960</v>
      </c>
      <c r="F146" s="15" t="s">
        <v>605</v>
      </c>
      <c r="G146" s="16" t="s">
        <v>606</v>
      </c>
      <c r="H146" s="11"/>
      <c r="I146" s="12">
        <v>0</v>
      </c>
      <c r="J146" s="12">
        <v>0</v>
      </c>
      <c r="K146" s="13" t="str">
        <f t="shared" ref="K146:K147" si="43">HYPERLINK("http://twitter.com/download/android","Twitter for Android")</f>
        <v>Twitter for Android</v>
      </c>
      <c r="L146" s="12">
        <v>238</v>
      </c>
      <c r="M146" s="12">
        <v>343</v>
      </c>
      <c r="N146" s="12">
        <v>18</v>
      </c>
      <c r="O146" s="14"/>
      <c r="P146" s="6">
        <v>40913.608287037037</v>
      </c>
      <c r="Q146" s="15" t="s">
        <v>607</v>
      </c>
      <c r="R146" s="17" t="s">
        <v>608</v>
      </c>
      <c r="S146" s="11"/>
      <c r="T146" s="11"/>
      <c r="U146" s="10" t="str">
        <f>HYPERLINK("https://pbs.twimg.com/profile_images/378800000743461515/ad3baea596f795df338e9b66adadf78a.jpeg","View")</f>
        <v>View</v>
      </c>
    </row>
    <row r="147" spans="1:21" ht="51">
      <c r="A147" s="6">
        <v>43442.38208333333</v>
      </c>
      <c r="B147" s="7" t="str">
        <f>HYPERLINK("https://twitter.com/Thorodinson76","@Thorodinson76")</f>
        <v>@Thorodinson76</v>
      </c>
      <c r="C147" s="8" t="s">
        <v>609</v>
      </c>
      <c r="D147" s="9" t="s">
        <v>610</v>
      </c>
      <c r="E147" s="10" t="str">
        <f>HYPERLINK("https://twitter.com/Thorodinson76/status/1071315996286296064","1071315996286296064")</f>
        <v>1071315996286296064</v>
      </c>
      <c r="F147" s="16" t="s">
        <v>611</v>
      </c>
      <c r="G147" s="11"/>
      <c r="H147" s="11"/>
      <c r="I147" s="12">
        <v>0</v>
      </c>
      <c r="J147" s="12">
        <v>0</v>
      </c>
      <c r="K147" s="13" t="str">
        <f t="shared" si="43"/>
        <v>Twitter for Android</v>
      </c>
      <c r="L147" s="12">
        <v>812</v>
      </c>
      <c r="M147" s="12">
        <v>2289</v>
      </c>
      <c r="N147" s="12">
        <v>13</v>
      </c>
      <c r="O147" s="14"/>
      <c r="P147" s="6">
        <v>41839.427291666667</v>
      </c>
      <c r="Q147" s="15" t="s">
        <v>612</v>
      </c>
      <c r="R147" s="17" t="s">
        <v>613</v>
      </c>
      <c r="S147" s="11"/>
      <c r="T147" s="11"/>
      <c r="U147" s="10" t="str">
        <f>HYPERLINK("https://pbs.twimg.com/profile_images/854052266541817857/RVDB8KJI.jpg","View")</f>
        <v>View</v>
      </c>
    </row>
    <row r="148" spans="1:21" ht="30.6">
      <c r="A148" s="6">
        <v>43442.379293981481</v>
      </c>
      <c r="B148" s="7" t="str">
        <f>HYPERLINK("https://twitter.com/diegogmx","@diegogmx")</f>
        <v>@diegogmx</v>
      </c>
      <c r="C148" s="8" t="s">
        <v>614</v>
      </c>
      <c r="D148" s="9" t="s">
        <v>615</v>
      </c>
      <c r="E148" s="10" t="str">
        <f>HYPERLINK("https://twitter.com/diegogmx/status/1071314984590811136","1071314984590811136")</f>
        <v>1071314984590811136</v>
      </c>
      <c r="F148" s="16" t="s">
        <v>616</v>
      </c>
      <c r="G148" s="16" t="s">
        <v>617</v>
      </c>
      <c r="H148" s="11"/>
      <c r="I148" s="12">
        <v>0</v>
      </c>
      <c r="J148" s="12">
        <v>0</v>
      </c>
      <c r="K148" s="13" t="str">
        <f>HYPERLINK("http://twitter.com/#!/download/ipad","Twitter for iPad")</f>
        <v>Twitter for iPad</v>
      </c>
      <c r="L148" s="12">
        <v>452</v>
      </c>
      <c r="M148" s="12">
        <v>1392</v>
      </c>
      <c r="N148" s="12">
        <v>13</v>
      </c>
      <c r="O148" s="14"/>
      <c r="P148" s="6">
        <v>39997.458067129628</v>
      </c>
      <c r="Q148" s="15" t="s">
        <v>618</v>
      </c>
      <c r="R148" s="17" t="s">
        <v>619</v>
      </c>
      <c r="S148" s="16" t="s">
        <v>620</v>
      </c>
      <c r="T148" s="11"/>
      <c r="U148" s="10" t="str">
        <f>HYPERLINK("https://pbs.twimg.com/profile_images/795532121918078977/Slvqceyw.jpg","View")</f>
        <v>View</v>
      </c>
    </row>
    <row r="149" spans="1:21" ht="40.799999999999997">
      <c r="A149" s="6">
        <v>43442.378831018519</v>
      </c>
      <c r="B149" s="7" t="str">
        <f>HYPERLINK("https://twitter.com/TeodoroDelValle","@TeodoroDelValle")</f>
        <v>@TeodoroDelValle</v>
      </c>
      <c r="C149" s="8" t="s">
        <v>621</v>
      </c>
      <c r="D149" s="9" t="s">
        <v>622</v>
      </c>
      <c r="E149" s="10" t="str">
        <f>HYPERLINK("https://twitter.com/TeodoroDelValle/status/1071314816902594560","1071314816902594560")</f>
        <v>1071314816902594560</v>
      </c>
      <c r="F149" s="16" t="s">
        <v>623</v>
      </c>
      <c r="G149" s="11"/>
      <c r="H149" s="11"/>
      <c r="I149" s="12">
        <v>0</v>
      </c>
      <c r="J149" s="12">
        <v>1</v>
      </c>
      <c r="K149" s="13" t="str">
        <f>HYPERLINK("http://instagram.com","Instagram")</f>
        <v>Instagram</v>
      </c>
      <c r="L149" s="12">
        <v>560</v>
      </c>
      <c r="M149" s="12">
        <v>1454</v>
      </c>
      <c r="N149" s="12">
        <v>0</v>
      </c>
      <c r="O149" s="14"/>
      <c r="P149" s="6">
        <v>40678.782349537039</v>
      </c>
      <c r="Q149" s="15" t="s">
        <v>624</v>
      </c>
      <c r="R149" s="17" t="s">
        <v>625</v>
      </c>
      <c r="S149" s="16" t="s">
        <v>626</v>
      </c>
      <c r="T149" s="11"/>
      <c r="U149" s="10" t="str">
        <f>HYPERLINK("https://pbs.twimg.com/profile_images/1070365677297504256/4_lunmbm.jpg","View")</f>
        <v>View</v>
      </c>
    </row>
    <row r="150" spans="1:21" ht="51">
      <c r="A150" s="6">
        <v>43442.378217592588</v>
      </c>
      <c r="B150" s="7" t="str">
        <f>HYPERLINK("https://twitter.com/MuyLiberal","@MuyLiberal")</f>
        <v>@MuyLiberal</v>
      </c>
      <c r="C150" s="8" t="s">
        <v>627</v>
      </c>
      <c r="D150" s="9" t="s">
        <v>628</v>
      </c>
      <c r="E150" s="10" t="str">
        <f>HYPERLINK("https://twitter.com/MuyLiberal/status/1071314595065688064","1071314595065688064")</f>
        <v>1071314595065688064</v>
      </c>
      <c r="F150" s="15" t="s">
        <v>629</v>
      </c>
      <c r="G150" s="11"/>
      <c r="H150" s="11"/>
      <c r="I150" s="12">
        <v>66</v>
      </c>
      <c r="J150" s="12">
        <v>83</v>
      </c>
      <c r="K150" s="13" t="str">
        <f>HYPERLINK("http://twitter.com/download/iphone","Twitter for iPhone")</f>
        <v>Twitter for iPhone</v>
      </c>
      <c r="L150" s="12">
        <v>29630</v>
      </c>
      <c r="M150" s="12">
        <v>1982</v>
      </c>
      <c r="N150" s="12">
        <v>241</v>
      </c>
      <c r="O150" s="23" t="s">
        <v>89</v>
      </c>
      <c r="P150" s="6">
        <v>41184.784629629634</v>
      </c>
      <c r="Q150" s="11"/>
      <c r="R150" s="17" t="s">
        <v>630</v>
      </c>
      <c r="S150" s="16" t="s">
        <v>631</v>
      </c>
      <c r="T150" s="11"/>
      <c r="U150" s="10" t="str">
        <f>HYPERLINK("https://pbs.twimg.com/profile_images/1065892129539530753/g638P6sH.jpg","View")</f>
        <v>View</v>
      </c>
    </row>
    <row r="151" spans="1:21" ht="51">
      <c r="A151" s="6">
        <v>43442.377303240741</v>
      </c>
      <c r="B151" s="7" t="str">
        <f>HYPERLINK("https://twitter.com/insideconsultor","@insideconsultor")</f>
        <v>@insideconsultor</v>
      </c>
      <c r="C151" s="8" t="s">
        <v>632</v>
      </c>
      <c r="D151" s="9" t="s">
        <v>633</v>
      </c>
      <c r="E151" s="10" t="str">
        <f>HYPERLINK("https://twitter.com/insideconsultor/status/1071314266068803584","1071314266068803584")</f>
        <v>1071314266068803584</v>
      </c>
      <c r="F151" s="11"/>
      <c r="G151" s="11"/>
      <c r="H151" s="11"/>
      <c r="I151" s="12">
        <v>0</v>
      </c>
      <c r="J151" s="12">
        <v>0</v>
      </c>
      <c r="K151" s="13" t="str">
        <f>HYPERLINK("http://twitter.com/download/android","Twitter for Android")</f>
        <v>Twitter for Android</v>
      </c>
      <c r="L151" s="12">
        <v>132</v>
      </c>
      <c r="M151" s="12">
        <v>933</v>
      </c>
      <c r="N151" s="12">
        <v>3</v>
      </c>
      <c r="O151" s="14"/>
      <c r="P151" s="6">
        <v>42698.622488425928</v>
      </c>
      <c r="Q151" s="15" t="s">
        <v>197</v>
      </c>
      <c r="R151" s="17" t="s">
        <v>634</v>
      </c>
      <c r="S151" s="11"/>
      <c r="T151" s="11"/>
      <c r="U151" s="10" t="str">
        <f>HYPERLINK("https://pbs.twimg.com/profile_images/1010077561832034304/fRcMKPwU.jpg","View")</f>
        <v>View</v>
      </c>
    </row>
    <row r="152" spans="1:21" ht="30.6">
      <c r="A152" s="6">
        <v>43442.376712962963</v>
      </c>
      <c r="B152" s="7" t="str">
        <f>HYPERLINK("https://twitter.com/Ochoqueochenta1","@Ochoqueochenta1")</f>
        <v>@Ochoqueochenta1</v>
      </c>
      <c r="C152" s="8" t="s">
        <v>635</v>
      </c>
      <c r="D152" s="9" t="s">
        <v>636</v>
      </c>
      <c r="E152" s="10" t="str">
        <f>HYPERLINK("https://twitter.com/Ochoqueochenta1/status/1071314053014929408","1071314053014929408")</f>
        <v>1071314053014929408</v>
      </c>
      <c r="F152" s="11"/>
      <c r="G152" s="16" t="s">
        <v>637</v>
      </c>
      <c r="H152" s="11"/>
      <c r="I152" s="12">
        <v>0</v>
      </c>
      <c r="J152" s="12">
        <v>0</v>
      </c>
      <c r="K152" s="13" t="str">
        <f>HYPERLINK("http://twitter.com/download/iphone","Twitter for iPhone")</f>
        <v>Twitter for iPhone</v>
      </c>
      <c r="L152" s="12">
        <v>28</v>
      </c>
      <c r="M152" s="12">
        <v>90</v>
      </c>
      <c r="N152" s="12">
        <v>0</v>
      </c>
      <c r="O152" s="14"/>
      <c r="P152" s="6">
        <v>43350.893726851849</v>
      </c>
      <c r="Q152" s="11"/>
      <c r="R152" s="17" t="s">
        <v>638</v>
      </c>
      <c r="S152" s="11"/>
      <c r="T152" s="11"/>
      <c r="U152" s="10" t="str">
        <f>HYPERLINK("https://pbs.twimg.com/profile_images/1038181012482797569/N0eYp5rw.jpg","View")</f>
        <v>View</v>
      </c>
    </row>
    <row r="153" spans="1:21" ht="51">
      <c r="A153" s="6">
        <v>43442.376388888893</v>
      </c>
      <c r="B153" s="7" t="str">
        <f>HYPERLINK("https://twitter.com/bitMomentum","@bitMomentum")</f>
        <v>@bitMomentum</v>
      </c>
      <c r="C153" s="8" t="s">
        <v>82</v>
      </c>
      <c r="D153" s="9" t="s">
        <v>639</v>
      </c>
      <c r="E153" s="10" t="str">
        <f>HYPERLINK("https://twitter.com/bitMomentum/status/1071313932051210240","1071313932051210240")</f>
        <v>1071313932051210240</v>
      </c>
      <c r="F153" s="11"/>
      <c r="G153" s="11"/>
      <c r="H153" s="11"/>
      <c r="I153" s="12">
        <v>0</v>
      </c>
      <c r="J153" s="12">
        <v>0</v>
      </c>
      <c r="K153" s="13" t="str">
        <f>HYPERLINK("http://www.bitmomentum.com","bitMomentum Bot")</f>
        <v>bitMomentum Bot</v>
      </c>
      <c r="L153" s="12">
        <v>10253</v>
      </c>
      <c r="M153" s="12">
        <v>1059</v>
      </c>
      <c r="N153" s="12">
        <v>263</v>
      </c>
      <c r="O153" s="14"/>
      <c r="P153" s="6">
        <v>41608.667511574073</v>
      </c>
      <c r="Q153" s="11"/>
      <c r="R153" s="17" t="s">
        <v>84</v>
      </c>
      <c r="S153" s="16" t="s">
        <v>85</v>
      </c>
      <c r="T153" s="11"/>
      <c r="U153" s="10" t="str">
        <f>HYPERLINK("https://pbs.twimg.com/profile_images/378800000862185241/20ij2H3u.png","View")</f>
        <v>View</v>
      </c>
    </row>
    <row r="154" spans="1:21" ht="20.399999999999999">
      <c r="A154" s="6">
        <v>43442.375891203701</v>
      </c>
      <c r="B154" s="7" t="str">
        <f>HYPERLINK("https://twitter.com/CestariOscar","@CestariOscar")</f>
        <v>@CestariOscar</v>
      </c>
      <c r="C154" s="8" t="s">
        <v>640</v>
      </c>
      <c r="D154" s="9" t="s">
        <v>641</v>
      </c>
      <c r="E154" s="10" t="str">
        <f>HYPERLINK("https://twitter.com/CestariOscar/status/1071313753013215232","1071313753013215232")</f>
        <v>1071313753013215232</v>
      </c>
      <c r="F154" s="16" t="s">
        <v>642</v>
      </c>
      <c r="G154" s="11"/>
      <c r="H154" s="11"/>
      <c r="I154" s="12">
        <v>0</v>
      </c>
      <c r="J154" s="12">
        <v>0</v>
      </c>
      <c r="K154" s="13" t="str">
        <f>HYPERLINK("http://www.facebook.com/twitter","Facebook")</f>
        <v>Facebook</v>
      </c>
      <c r="L154" s="12">
        <v>166</v>
      </c>
      <c r="M154" s="12">
        <v>181</v>
      </c>
      <c r="N154" s="12">
        <v>0</v>
      </c>
      <c r="O154" s="14"/>
      <c r="P154" s="6">
        <v>41710.824618055558</v>
      </c>
      <c r="Q154" s="11"/>
      <c r="R154" s="18"/>
      <c r="S154" s="11"/>
      <c r="T154" s="11"/>
      <c r="U154" s="10" t="str">
        <f>HYPERLINK("https://pbs.twimg.com/profile_images/460021269207863296/yjBUNpoY.jpeg","View")</f>
        <v>View</v>
      </c>
    </row>
    <row r="155" spans="1:21" ht="51">
      <c r="A155" s="6">
        <v>43442.375694444447</v>
      </c>
      <c r="B155" s="7" t="str">
        <f>HYPERLINK("https://twitter.com/bitMomentum","@bitMomentum")</f>
        <v>@bitMomentum</v>
      </c>
      <c r="C155" s="8" t="s">
        <v>82</v>
      </c>
      <c r="D155" s="9" t="s">
        <v>643</v>
      </c>
      <c r="E155" s="10" t="str">
        <f>HYPERLINK("https://twitter.com/bitMomentum/status/1071313680640499712","1071313680640499712")</f>
        <v>1071313680640499712</v>
      </c>
      <c r="F155" s="11"/>
      <c r="G155" s="11"/>
      <c r="H155" s="11"/>
      <c r="I155" s="12">
        <v>0</v>
      </c>
      <c r="J155" s="12">
        <v>2</v>
      </c>
      <c r="K155" s="13" t="str">
        <f>HYPERLINK("http://www.bitmomentum.com","bitMomentum Bot")</f>
        <v>bitMomentum Bot</v>
      </c>
      <c r="L155" s="12">
        <v>10253</v>
      </c>
      <c r="M155" s="12">
        <v>1059</v>
      </c>
      <c r="N155" s="12">
        <v>263</v>
      </c>
      <c r="O155" s="14"/>
      <c r="P155" s="6">
        <v>41608.667511574073</v>
      </c>
      <c r="Q155" s="11"/>
      <c r="R155" s="17" t="s">
        <v>84</v>
      </c>
      <c r="S155" s="16" t="s">
        <v>85</v>
      </c>
      <c r="T155" s="11"/>
      <c r="U155" s="10" t="str">
        <f>HYPERLINK("https://pbs.twimg.com/profile_images/378800000862185241/20ij2H3u.png","View")</f>
        <v>View</v>
      </c>
    </row>
    <row r="156" spans="1:21" ht="51">
      <c r="A156" s="6">
        <v>43442.375</v>
      </c>
      <c r="B156" s="7" t="str">
        <f>HYPERLINK("https://twitter.com/indpcom","@indpcom")</f>
        <v>@indpcom</v>
      </c>
      <c r="C156" s="8" t="s">
        <v>207</v>
      </c>
      <c r="D156" s="9" t="s">
        <v>208</v>
      </c>
      <c r="E156" s="10" t="str">
        <f>HYPERLINK("https://twitter.com/indpcom/status/1071313429590368256","1071313429590368256")</f>
        <v>1071313429590368256</v>
      </c>
      <c r="F156" s="16" t="s">
        <v>209</v>
      </c>
      <c r="G156" s="11"/>
      <c r="H156" s="11"/>
      <c r="I156" s="12">
        <v>8</v>
      </c>
      <c r="J156" s="12">
        <v>11</v>
      </c>
      <c r="K156" s="13" t="str">
        <f>HYPERLINK("https://about.twitter.com/products/tweetdeck","TweetDeck")</f>
        <v>TweetDeck</v>
      </c>
      <c r="L156" s="12">
        <v>59371</v>
      </c>
      <c r="M156" s="12">
        <v>1310</v>
      </c>
      <c r="N156" s="12">
        <v>1116</v>
      </c>
      <c r="O156" s="23" t="s">
        <v>89</v>
      </c>
      <c r="P156" s="6">
        <v>42537.702719907407</v>
      </c>
      <c r="Q156" s="15" t="s">
        <v>185</v>
      </c>
      <c r="R156" s="17" t="s">
        <v>210</v>
      </c>
      <c r="S156" s="16" t="s">
        <v>211</v>
      </c>
      <c r="T156" s="11"/>
      <c r="U156" s="10" t="str">
        <f>HYPERLINK("https://pbs.twimg.com/profile_images/773807977069420544/o4tNI4zQ.jpg","View")</f>
        <v>View</v>
      </c>
    </row>
    <row r="157" spans="1:21" ht="20.399999999999999">
      <c r="A157" s="6">
        <v>43442.368773148148</v>
      </c>
      <c r="B157" s="7" t="str">
        <f>HYPERLINK("https://twitter.com/eduardoinda","@eduardoinda")</f>
        <v>@eduardoinda</v>
      </c>
      <c r="C157" s="8" t="s">
        <v>644</v>
      </c>
      <c r="D157" s="9" t="s">
        <v>645</v>
      </c>
      <c r="E157" s="10" t="str">
        <f>HYPERLINK("https://twitter.com/eduardoinda/status/1071311173637861376","1071311173637861376")</f>
        <v>1071311173637861376</v>
      </c>
      <c r="F157" s="16" t="s">
        <v>646</v>
      </c>
      <c r="G157" s="11"/>
      <c r="H157" s="11"/>
      <c r="I157" s="12">
        <v>844</v>
      </c>
      <c r="J157" s="12">
        <v>867</v>
      </c>
      <c r="K157" s="13" t="str">
        <f>HYPERLINK("https://www.echobox.com","Echobox Social")</f>
        <v>Echobox Social</v>
      </c>
      <c r="L157" s="12">
        <v>87227</v>
      </c>
      <c r="M157" s="12">
        <v>136</v>
      </c>
      <c r="N157" s="12">
        <v>649</v>
      </c>
      <c r="O157" s="23" t="s">
        <v>89</v>
      </c>
      <c r="P157" s="6">
        <v>42412.515844907408</v>
      </c>
      <c r="Q157" s="11"/>
      <c r="R157" s="17" t="s">
        <v>647</v>
      </c>
      <c r="S157" s="16" t="s">
        <v>648</v>
      </c>
      <c r="T157" s="11"/>
      <c r="U157" s="10" t="str">
        <f>HYPERLINK("https://pbs.twimg.com/profile_images/698106393526722560/hA9Itqr5.jpg","View")</f>
        <v>View</v>
      </c>
    </row>
    <row r="158" spans="1:21" ht="40.799999999999997">
      <c r="A158" s="6">
        <v>43442.363449074073</v>
      </c>
      <c r="B158" s="7" t="str">
        <f>HYPERLINK("https://twitter.com/bernabe3velez","@bernabe3velez")</f>
        <v>@bernabe3velez</v>
      </c>
      <c r="C158" s="8" t="s">
        <v>649</v>
      </c>
      <c r="D158" s="9" t="s">
        <v>650</v>
      </c>
      <c r="E158" s="10" t="str">
        <f>HYPERLINK("https://twitter.com/bernabe3velez/status/1071309243779833858","1071309243779833858")</f>
        <v>1071309243779833858</v>
      </c>
      <c r="F158" s="11"/>
      <c r="G158" s="11"/>
      <c r="H158" s="11"/>
      <c r="I158" s="12">
        <v>0</v>
      </c>
      <c r="J158" s="12">
        <v>0</v>
      </c>
      <c r="K158" s="13" t="str">
        <f>HYPERLINK("http://twitter.com/download/iphone","Twitter for iPhone")</f>
        <v>Twitter for iPhone</v>
      </c>
      <c r="L158" s="12">
        <v>2</v>
      </c>
      <c r="M158" s="12">
        <v>12</v>
      </c>
      <c r="N158" s="12">
        <v>0</v>
      </c>
      <c r="O158" s="14"/>
      <c r="P158" s="6">
        <v>43439.604189814811</v>
      </c>
      <c r="Q158" s="15" t="s">
        <v>651</v>
      </c>
      <c r="R158" s="17" t="s">
        <v>652</v>
      </c>
      <c r="S158" s="11"/>
      <c r="T158" s="11"/>
      <c r="U158" s="10" t="str">
        <f>HYPERLINK("https://pbs.twimg.com/profile_images/1071306531080146945/QB4T0k5p.jpg","View")</f>
        <v>View</v>
      </c>
    </row>
    <row r="159" spans="1:21" ht="51">
      <c r="A159" s="6">
        <v>43442.337905092594</v>
      </c>
      <c r="B159" s="7" t="str">
        <f>HYPERLINK("https://twitter.com/trendinaliaES","@trendinaliaES")</f>
        <v>@trendinaliaES</v>
      </c>
      <c r="C159" s="8" t="s">
        <v>653</v>
      </c>
      <c r="D159" s="9" t="s">
        <v>654</v>
      </c>
      <c r="E159" s="10" t="str">
        <f>HYPERLINK("https://twitter.com/trendinaliaES/status/1071299988532060161","1071299988532060161")</f>
        <v>1071299988532060161</v>
      </c>
      <c r="F159" s="16" t="s">
        <v>655</v>
      </c>
      <c r="G159" s="11"/>
      <c r="H159" s="11" t="str">
        <f>HYPERLINK("https://ctrlq.org/maps/address/#40.4203,-3.7058","Map")</f>
        <v>Map</v>
      </c>
      <c r="I159" s="12">
        <v>0</v>
      </c>
      <c r="J159" s="12">
        <v>0</v>
      </c>
      <c r="K159" s="13" t="str">
        <f>HYPERLINK("http://laconversa.com","Es Tendencia en España")</f>
        <v>Es Tendencia en España</v>
      </c>
      <c r="L159" s="12">
        <v>49257</v>
      </c>
      <c r="M159" s="12">
        <v>34</v>
      </c>
      <c r="N159" s="12">
        <v>722</v>
      </c>
      <c r="O159" s="23" t="s">
        <v>89</v>
      </c>
      <c r="P159" s="6">
        <v>41319.819074074076</v>
      </c>
      <c r="Q159" s="15" t="s">
        <v>197</v>
      </c>
      <c r="R159" s="17" t="s">
        <v>656</v>
      </c>
      <c r="S159" s="16" t="s">
        <v>657</v>
      </c>
      <c r="T159" s="11"/>
      <c r="U159" s="10" t="str">
        <f>HYPERLINK("https://pbs.twimg.com/profile_images/696485210821632000/xpdMQ_mE.png","View")</f>
        <v>View</v>
      </c>
    </row>
    <row r="160" spans="1:21" ht="30.6">
      <c r="A160" s="6">
        <v>43442.335081018522</v>
      </c>
      <c r="B160" s="7" t="str">
        <f>HYPERLINK("https://twitter.com/solosequenose","@solosequenose")</f>
        <v>@solosequenose</v>
      </c>
      <c r="C160" s="8" t="s">
        <v>658</v>
      </c>
      <c r="D160" s="9" t="s">
        <v>659</v>
      </c>
      <c r="E160" s="10" t="str">
        <f>HYPERLINK("https://twitter.com/solosequenose/status/1071298963389734912","1071298963389734912")</f>
        <v>1071298963389734912</v>
      </c>
      <c r="F160" s="11"/>
      <c r="G160" s="11"/>
      <c r="H160" s="11"/>
      <c r="I160" s="12">
        <v>0</v>
      </c>
      <c r="J160" s="12">
        <v>0</v>
      </c>
      <c r="K160" s="13" t="str">
        <f>HYPERLINK("http://twitter.com","Twitter Web Client")</f>
        <v>Twitter Web Client</v>
      </c>
      <c r="L160" s="12">
        <v>119</v>
      </c>
      <c r="M160" s="12">
        <v>128</v>
      </c>
      <c r="N160" s="12">
        <v>2</v>
      </c>
      <c r="O160" s="14"/>
      <c r="P160" s="6">
        <v>40850.466365740736</v>
      </c>
      <c r="Q160" s="15" t="s">
        <v>612</v>
      </c>
      <c r="R160" s="18"/>
      <c r="S160" s="11"/>
      <c r="T160" s="11"/>
      <c r="U160" s="10" t="str">
        <f>HYPERLINK("https://pbs.twimg.com/profile_images/947487151079546880/eGE52uvw.jpg","View")</f>
        <v>View</v>
      </c>
    </row>
    <row r="161" spans="1:21" ht="61.2">
      <c r="A161" s="6">
        <v>43442.334918981476</v>
      </c>
      <c r="B161" s="7" t="str">
        <f>HYPERLINK("https://twitter.com/Indal42","@Indal42")</f>
        <v>@Indal42</v>
      </c>
      <c r="C161" s="8" t="s">
        <v>660</v>
      </c>
      <c r="D161" s="9" t="s">
        <v>661</v>
      </c>
      <c r="E161" s="10" t="str">
        <f>HYPERLINK("https://twitter.com/Indal42/status/1071298906481455104","1071298906481455104")</f>
        <v>1071298906481455104</v>
      </c>
      <c r="F161" s="15" t="s">
        <v>662</v>
      </c>
      <c r="G161" s="11"/>
      <c r="H161" s="11"/>
      <c r="I161" s="12">
        <v>1</v>
      </c>
      <c r="J161" s="12">
        <v>2</v>
      </c>
      <c r="K161" s="13" t="str">
        <f>HYPERLINK("http://twitter.com/download/iphone","Twitter for iPhone")</f>
        <v>Twitter for iPhone</v>
      </c>
      <c r="L161" s="12">
        <v>3558</v>
      </c>
      <c r="M161" s="12">
        <v>2549</v>
      </c>
      <c r="N161" s="12">
        <v>11</v>
      </c>
      <c r="O161" s="14"/>
      <c r="P161" s="6">
        <v>40236.897222222222</v>
      </c>
      <c r="Q161" s="15" t="s">
        <v>663</v>
      </c>
      <c r="R161" s="17" t="s">
        <v>664</v>
      </c>
      <c r="S161" s="11"/>
      <c r="T161" s="11"/>
      <c r="U161" s="10" t="str">
        <f>HYPERLINK("https://pbs.twimg.com/profile_images/686849186067800065/scQ6rYdX.jpg","View")</f>
        <v>View</v>
      </c>
    </row>
    <row r="162" spans="1:21" ht="51">
      <c r="A162" s="6">
        <v>43442.334722222222</v>
      </c>
      <c r="B162" s="7" t="str">
        <f t="shared" ref="B162:B163" si="44">HYPERLINK("https://twitter.com/bitMomentum","@bitMomentum")</f>
        <v>@bitMomentum</v>
      </c>
      <c r="C162" s="8" t="s">
        <v>82</v>
      </c>
      <c r="D162" s="9" t="s">
        <v>665</v>
      </c>
      <c r="E162" s="10" t="str">
        <f>HYPERLINK("https://twitter.com/bitMomentum/status/1071298832707870720","1071298832707870720")</f>
        <v>1071298832707870720</v>
      </c>
      <c r="F162" s="11"/>
      <c r="G162" s="11"/>
      <c r="H162" s="11"/>
      <c r="I162" s="12">
        <v>0</v>
      </c>
      <c r="J162" s="12">
        <v>1</v>
      </c>
      <c r="K162" s="13" t="str">
        <f t="shared" ref="K162:K163" si="45">HYPERLINK("http://www.bitmomentum.com","bitMomentum Bot")</f>
        <v>bitMomentum Bot</v>
      </c>
      <c r="L162" s="12">
        <v>10253</v>
      </c>
      <c r="M162" s="12">
        <v>1059</v>
      </c>
      <c r="N162" s="12">
        <v>263</v>
      </c>
      <c r="O162" s="14"/>
      <c r="P162" s="6">
        <v>41608.667511574073</v>
      </c>
      <c r="Q162" s="11"/>
      <c r="R162" s="17" t="s">
        <v>84</v>
      </c>
      <c r="S162" s="16" t="s">
        <v>85</v>
      </c>
      <c r="T162" s="11"/>
      <c r="U162" s="10" t="str">
        <f t="shared" ref="U162:U163" si="46">HYPERLINK("https://pbs.twimg.com/profile_images/378800000862185241/20ij2H3u.png","View")</f>
        <v>View</v>
      </c>
    </row>
    <row r="163" spans="1:21" ht="51">
      <c r="A163" s="6">
        <v>43442.334027777775</v>
      </c>
      <c r="B163" s="7" t="str">
        <f t="shared" si="44"/>
        <v>@bitMomentum</v>
      </c>
      <c r="C163" s="8" t="s">
        <v>82</v>
      </c>
      <c r="D163" s="9" t="s">
        <v>666</v>
      </c>
      <c r="E163" s="10" t="str">
        <f>HYPERLINK("https://twitter.com/bitMomentum/status/1071298581225721857","1071298581225721857")</f>
        <v>1071298581225721857</v>
      </c>
      <c r="F163" s="11"/>
      <c r="G163" s="11"/>
      <c r="H163" s="11"/>
      <c r="I163" s="12">
        <v>0</v>
      </c>
      <c r="J163" s="12">
        <v>1</v>
      </c>
      <c r="K163" s="13" t="str">
        <f t="shared" si="45"/>
        <v>bitMomentum Bot</v>
      </c>
      <c r="L163" s="12">
        <v>10253</v>
      </c>
      <c r="M163" s="12">
        <v>1059</v>
      </c>
      <c r="N163" s="12">
        <v>263</v>
      </c>
      <c r="O163" s="14"/>
      <c r="P163" s="6">
        <v>41608.667511574073</v>
      </c>
      <c r="Q163" s="11"/>
      <c r="R163" s="17" t="s">
        <v>84</v>
      </c>
      <c r="S163" s="16" t="s">
        <v>85</v>
      </c>
      <c r="T163" s="11"/>
      <c r="U163" s="10" t="str">
        <f t="shared" si="46"/>
        <v>View</v>
      </c>
    </row>
    <row r="164" spans="1:21" ht="51">
      <c r="A164" s="6">
        <v>43442.322708333333</v>
      </c>
      <c r="B164" s="7" t="str">
        <f>HYPERLINK("https://twitter.com/huelvayorktimes","@huelvayorktimes")</f>
        <v>@huelvayorktimes</v>
      </c>
      <c r="C164" s="8" t="s">
        <v>667</v>
      </c>
      <c r="D164" s="9" t="s">
        <v>668</v>
      </c>
      <c r="E164" s="10" t="str">
        <f>HYPERLINK("https://twitter.com/huelvayorktimes/status/1071294481373237248","1071294481373237248")</f>
        <v>1071294481373237248</v>
      </c>
      <c r="F164" s="11"/>
      <c r="G164" s="16" t="s">
        <v>669</v>
      </c>
      <c r="H164" s="11"/>
      <c r="I164" s="12">
        <v>1</v>
      </c>
      <c r="J164" s="12">
        <v>2</v>
      </c>
      <c r="K164" s="13" t="str">
        <f>HYPERLINK("http://twitter.com","Twitter Web Client")</f>
        <v>Twitter Web Client</v>
      </c>
      <c r="L164" s="12">
        <v>55</v>
      </c>
      <c r="M164" s="12">
        <v>364</v>
      </c>
      <c r="N164" s="12">
        <v>0</v>
      </c>
      <c r="O164" s="14"/>
      <c r="P164" s="6">
        <v>42168.70893518519</v>
      </c>
      <c r="Q164" s="15" t="s">
        <v>670</v>
      </c>
      <c r="R164" s="17" t="s">
        <v>671</v>
      </c>
      <c r="S164" s="11"/>
      <c r="T164" s="11"/>
      <c r="U164" s="10" t="str">
        <f>HYPERLINK("https://pbs.twimg.com/profile_images/920709570070220800/_eCPEynQ.jpg","View")</f>
        <v>View</v>
      </c>
    </row>
    <row r="165" spans="1:21" ht="40.799999999999997">
      <c r="A165" s="6">
        <v>43442.302141203705</v>
      </c>
      <c r="B165" s="7" t="str">
        <f>HYPERLINK("https://twitter.com/lextresabogados","@lextresabogados")</f>
        <v>@lextresabogados</v>
      </c>
      <c r="C165" s="8" t="s">
        <v>672</v>
      </c>
      <c r="D165" s="9" t="s">
        <v>673</v>
      </c>
      <c r="E165" s="10" t="str">
        <f>HYPERLINK("https://twitter.com/lextresabogados/status/1071287028619317248","1071287028619317248")</f>
        <v>1071287028619317248</v>
      </c>
      <c r="F165" s="16" t="s">
        <v>674</v>
      </c>
      <c r="G165" s="16" t="s">
        <v>675</v>
      </c>
      <c r="H165" s="11"/>
      <c r="I165" s="12">
        <v>0</v>
      </c>
      <c r="J165" s="12">
        <v>0</v>
      </c>
      <c r="K165" s="13" t="str">
        <f>HYPERLINK("http://35.180.36.179","botize nueva")</f>
        <v>botize nueva</v>
      </c>
      <c r="L165" s="12">
        <v>2912</v>
      </c>
      <c r="M165" s="12">
        <v>3525</v>
      </c>
      <c r="N165" s="12">
        <v>26</v>
      </c>
      <c r="O165" s="14"/>
      <c r="P165" s="6">
        <v>42880.770949074074</v>
      </c>
      <c r="Q165" s="15" t="s">
        <v>676</v>
      </c>
      <c r="R165" s="17" t="s">
        <v>677</v>
      </c>
      <c r="S165" s="16" t="s">
        <v>678</v>
      </c>
      <c r="T165" s="11"/>
      <c r="U165" s="10" t="str">
        <f>HYPERLINK("https://pbs.twimg.com/profile_images/1068056978679898113/YnjKwiVy.jpg","View")</f>
        <v>View</v>
      </c>
    </row>
    <row r="166" spans="1:21" ht="40.799999999999997">
      <c r="A166" s="6">
        <v>43442.302083333328</v>
      </c>
      <c r="B166" s="7" t="str">
        <f>HYPERLINK("https://twitter.com/larazon_es","@larazon_es")</f>
        <v>@larazon_es</v>
      </c>
      <c r="C166" s="8" t="s">
        <v>679</v>
      </c>
      <c r="D166" s="9" t="s">
        <v>680</v>
      </c>
      <c r="E166" s="10" t="str">
        <f>HYPERLINK("https://twitter.com/larazon_es/status/1071287006574071808","1071287006574071808")</f>
        <v>1071287006574071808</v>
      </c>
      <c r="F166" s="16" t="s">
        <v>674</v>
      </c>
      <c r="G166" s="16" t="s">
        <v>681</v>
      </c>
      <c r="H166" s="11"/>
      <c r="I166" s="12">
        <v>9</v>
      </c>
      <c r="J166" s="12">
        <v>5</v>
      </c>
      <c r="K166" s="13" t="str">
        <f>HYPERLINK("http://dogtrack.es","DogTrack_Oficial")</f>
        <v>DogTrack_Oficial</v>
      </c>
      <c r="L166" s="12">
        <v>442249</v>
      </c>
      <c r="M166" s="12">
        <v>2961</v>
      </c>
      <c r="N166" s="12">
        <v>6162</v>
      </c>
      <c r="O166" s="23" t="s">
        <v>89</v>
      </c>
      <c r="P166" s="6">
        <v>40218.530092592591</v>
      </c>
      <c r="Q166" s="15" t="s">
        <v>197</v>
      </c>
      <c r="R166" s="17" t="s">
        <v>682</v>
      </c>
      <c r="S166" s="16" t="s">
        <v>683</v>
      </c>
      <c r="T166" s="11"/>
      <c r="U166" s="10" t="str">
        <f>HYPERLINK("https://pbs.twimg.com/profile_images/1038331271108341762/TPuwz6wc.jpg","View")</f>
        <v>View</v>
      </c>
    </row>
    <row r="167" spans="1:21" ht="51">
      <c r="A167" s="6">
        <v>43442.29305555555</v>
      </c>
      <c r="B167" s="7" t="str">
        <f>HYPERLINK("https://twitter.com/bitMomentum","@bitMomentum")</f>
        <v>@bitMomentum</v>
      </c>
      <c r="C167" s="8" t="s">
        <v>82</v>
      </c>
      <c r="D167" s="9" t="s">
        <v>684</v>
      </c>
      <c r="E167" s="10" t="str">
        <f>HYPERLINK("https://twitter.com/bitMomentum/status/1071283733205012480","1071283733205012480")</f>
        <v>1071283733205012480</v>
      </c>
      <c r="F167" s="11"/>
      <c r="G167" s="11"/>
      <c r="H167" s="11"/>
      <c r="I167" s="12">
        <v>0</v>
      </c>
      <c r="J167" s="12">
        <v>0</v>
      </c>
      <c r="K167" s="13" t="str">
        <f>HYPERLINK("http://www.bitmomentum.com","bitMomentum Bot")</f>
        <v>bitMomentum Bot</v>
      </c>
      <c r="L167" s="12">
        <v>10253</v>
      </c>
      <c r="M167" s="12">
        <v>1059</v>
      </c>
      <c r="N167" s="12">
        <v>263</v>
      </c>
      <c r="O167" s="14"/>
      <c r="P167" s="6">
        <v>41608.667511574073</v>
      </c>
      <c r="Q167" s="11"/>
      <c r="R167" s="17" t="s">
        <v>84</v>
      </c>
      <c r="S167" s="16" t="s">
        <v>85</v>
      </c>
      <c r="T167" s="11"/>
      <c r="U167" s="10" t="str">
        <f>HYPERLINK("https://pbs.twimg.com/profile_images/378800000862185241/20ij2H3u.png","View")</f>
        <v>View</v>
      </c>
    </row>
    <row r="168" spans="1:21" ht="51">
      <c r="A168" s="6">
        <v>43442.292719907404</v>
      </c>
      <c r="B168" s="7" t="str">
        <f>HYPERLINK("https://twitter.com/MaxiRockatansky","@MaxiRockatansky")</f>
        <v>@MaxiRockatansky</v>
      </c>
      <c r="C168" s="8" t="s">
        <v>685</v>
      </c>
      <c r="D168" s="9" t="s">
        <v>686</v>
      </c>
      <c r="E168" s="10" t="str">
        <f>HYPERLINK("https://twitter.com/MaxiRockatansky/status/1071283614682415104","1071283614682415104")</f>
        <v>1071283614682415104</v>
      </c>
      <c r="F168" s="11"/>
      <c r="G168" s="11"/>
      <c r="H168" s="11"/>
      <c r="I168" s="12">
        <v>0</v>
      </c>
      <c r="J168" s="12">
        <v>0</v>
      </c>
      <c r="K168" s="13" t="str">
        <f>HYPERLINK("http://www.tweetcaster.com","TweetCaster for Android")</f>
        <v>TweetCaster for Android</v>
      </c>
      <c r="L168" s="12">
        <v>15</v>
      </c>
      <c r="M168" s="12">
        <v>84</v>
      </c>
      <c r="N168" s="12">
        <v>0</v>
      </c>
      <c r="O168" s="14"/>
      <c r="P168" s="6">
        <v>43281.819606481484</v>
      </c>
      <c r="Q168" s="15" t="s">
        <v>687</v>
      </c>
      <c r="R168" s="17" t="s">
        <v>688</v>
      </c>
      <c r="S168" s="11"/>
      <c r="T168" s="11"/>
      <c r="U168" s="10" t="str">
        <f>HYPERLINK("https://pbs.twimg.com/profile_images/1018973970018832384/KHva7ghs.jpg","View")</f>
        <v>View</v>
      </c>
    </row>
    <row r="169" spans="1:21" ht="61.2">
      <c r="A169" s="6">
        <v>43442.292430555557</v>
      </c>
      <c r="B169" s="7" t="str">
        <f>HYPERLINK("https://twitter.com/Ketelusan","@Ketelusan")</f>
        <v>@Ketelusan</v>
      </c>
      <c r="C169" s="8" t="s">
        <v>689</v>
      </c>
      <c r="D169" s="9" t="s">
        <v>690</v>
      </c>
      <c r="E169" s="10" t="str">
        <f>HYPERLINK("https://twitter.com/Ketelusan/status/1071283507887001600","1071283507887001600")</f>
        <v>1071283507887001600</v>
      </c>
      <c r="F169" s="16" t="s">
        <v>468</v>
      </c>
      <c r="G169" s="16" t="s">
        <v>469</v>
      </c>
      <c r="H169" s="11"/>
      <c r="I169" s="12">
        <v>0</v>
      </c>
      <c r="J169" s="12">
        <v>0</v>
      </c>
      <c r="K169" s="13" t="str">
        <f>HYPERLINK("http://twitter.com/download/android","Twitter for Android")</f>
        <v>Twitter for Android</v>
      </c>
      <c r="L169" s="12">
        <v>602</v>
      </c>
      <c r="M169" s="12">
        <v>401</v>
      </c>
      <c r="N169" s="12">
        <v>19</v>
      </c>
      <c r="O169" s="14"/>
      <c r="P169" s="6">
        <v>40621.931527777779</v>
      </c>
      <c r="Q169" s="15" t="s">
        <v>691</v>
      </c>
      <c r="R169" s="17" t="s">
        <v>692</v>
      </c>
      <c r="S169" s="16" t="s">
        <v>693</v>
      </c>
      <c r="T169" s="11"/>
      <c r="U169" s="10" t="str">
        <f>HYPERLINK("https://pbs.twimg.com/profile_images/511857501210292224/Fxm0fjPM.jpeg","View")</f>
        <v>View</v>
      </c>
    </row>
    <row r="170" spans="1:21" ht="51">
      <c r="A170" s="6">
        <v>43442.292361111111</v>
      </c>
      <c r="B170" s="7" t="str">
        <f>HYPERLINK("https://twitter.com/bitMomentum","@bitMomentum")</f>
        <v>@bitMomentum</v>
      </c>
      <c r="C170" s="8" t="s">
        <v>82</v>
      </c>
      <c r="D170" s="9" t="s">
        <v>694</v>
      </c>
      <c r="E170" s="10" t="str">
        <f>HYPERLINK("https://twitter.com/bitMomentum/status/1071283481605488640","1071283481605488640")</f>
        <v>1071283481605488640</v>
      </c>
      <c r="F170" s="11"/>
      <c r="G170" s="11"/>
      <c r="H170" s="11"/>
      <c r="I170" s="12">
        <v>0</v>
      </c>
      <c r="J170" s="12">
        <v>0</v>
      </c>
      <c r="K170" s="13" t="str">
        <f>HYPERLINK("http://www.bitmomentum.com","bitMomentum Bot")</f>
        <v>bitMomentum Bot</v>
      </c>
      <c r="L170" s="12">
        <v>10253</v>
      </c>
      <c r="M170" s="12">
        <v>1059</v>
      </c>
      <c r="N170" s="12">
        <v>263</v>
      </c>
      <c r="O170" s="14"/>
      <c r="P170" s="6">
        <v>41608.667511574073</v>
      </c>
      <c r="Q170" s="11"/>
      <c r="R170" s="17" t="s">
        <v>84</v>
      </c>
      <c r="S170" s="16" t="s">
        <v>85</v>
      </c>
      <c r="T170" s="11"/>
      <c r="U170" s="10" t="str">
        <f>HYPERLINK("https://pbs.twimg.com/profile_images/378800000862185241/20ij2H3u.png","View")</f>
        <v>View</v>
      </c>
    </row>
    <row r="171" spans="1:21" ht="51">
      <c r="A171" s="6">
        <v>43442.29</v>
      </c>
      <c r="B171" s="7" t="str">
        <f>HYPERLINK("https://twitter.com/MaxiRockatansky","@MaxiRockatansky")</f>
        <v>@MaxiRockatansky</v>
      </c>
      <c r="C171" s="8" t="s">
        <v>685</v>
      </c>
      <c r="D171" s="9" t="s">
        <v>695</v>
      </c>
      <c r="E171" s="10" t="str">
        <f>HYPERLINK("https://twitter.com/MaxiRockatansky/status/1071282626638557184","1071282626638557184")</f>
        <v>1071282626638557184</v>
      </c>
      <c r="F171" s="11"/>
      <c r="G171" s="11"/>
      <c r="H171" s="11"/>
      <c r="I171" s="12">
        <v>0</v>
      </c>
      <c r="J171" s="12">
        <v>0</v>
      </c>
      <c r="K171" s="13" t="str">
        <f>HYPERLINK("http://www.tweetcaster.com","TweetCaster for Android")</f>
        <v>TweetCaster for Android</v>
      </c>
      <c r="L171" s="12">
        <v>15</v>
      </c>
      <c r="M171" s="12">
        <v>84</v>
      </c>
      <c r="N171" s="12">
        <v>0</v>
      </c>
      <c r="O171" s="14"/>
      <c r="P171" s="6">
        <v>43281.819606481484</v>
      </c>
      <c r="Q171" s="15" t="s">
        <v>687</v>
      </c>
      <c r="R171" s="17" t="s">
        <v>688</v>
      </c>
      <c r="S171" s="11"/>
      <c r="T171" s="11"/>
      <c r="U171" s="10" t="str">
        <f>HYPERLINK("https://pbs.twimg.com/profile_images/1018973970018832384/KHva7ghs.jpg","View")</f>
        <v>View</v>
      </c>
    </row>
    <row r="172" spans="1:21" ht="51">
      <c r="A172" s="6">
        <v>43442.281875000001</v>
      </c>
      <c r="B172" s="7" t="str">
        <f>HYPERLINK("https://twitter.com/Soy_NeoDaVe","@Soy_NeoDaVe")</f>
        <v>@Soy_NeoDaVe</v>
      </c>
      <c r="C172" s="8" t="s">
        <v>696</v>
      </c>
      <c r="D172" s="9" t="s">
        <v>697</v>
      </c>
      <c r="E172" s="10" t="str">
        <f>HYPERLINK("https://twitter.com/Soy_NeoDaVe/status/1071279684309127168","1071279684309127168")</f>
        <v>1071279684309127168</v>
      </c>
      <c r="F172" s="16" t="s">
        <v>505</v>
      </c>
      <c r="G172" s="16" t="s">
        <v>506</v>
      </c>
      <c r="H172" s="11"/>
      <c r="I172" s="12">
        <v>0</v>
      </c>
      <c r="J172" s="12">
        <v>0</v>
      </c>
      <c r="K172" s="13" t="str">
        <f>HYPERLINK("http://twitter.com/download/android","Twitter for Android")</f>
        <v>Twitter for Android</v>
      </c>
      <c r="L172" s="12">
        <v>65</v>
      </c>
      <c r="M172" s="12">
        <v>172</v>
      </c>
      <c r="N172" s="12">
        <v>0</v>
      </c>
      <c r="O172" s="14"/>
      <c r="P172" s="6">
        <v>43341.917303240742</v>
      </c>
      <c r="Q172" s="15" t="s">
        <v>698</v>
      </c>
      <c r="R172" s="17" t="s">
        <v>699</v>
      </c>
      <c r="S172" s="11"/>
      <c r="T172" s="11"/>
      <c r="U172" s="10" t="str">
        <f>HYPERLINK("https://pbs.twimg.com/profile_images/1039738004968013825/AAWro8xt.jpg","View")</f>
        <v>View</v>
      </c>
    </row>
    <row r="173" spans="1:21" ht="40.799999999999997">
      <c r="A173" s="6">
        <v>43442.254409722227</v>
      </c>
      <c r="B173" s="7" t="str">
        <f>HYPERLINK("https://twitter.com/gatopapa","@gatopapa")</f>
        <v>@gatopapa</v>
      </c>
      <c r="C173" s="8" t="s">
        <v>700</v>
      </c>
      <c r="D173" s="9" t="s">
        <v>701</v>
      </c>
      <c r="E173" s="10" t="str">
        <f>HYPERLINK("https://twitter.com/gatopapa/status/1071269730495930368","1071269730495930368")</f>
        <v>1071269730495930368</v>
      </c>
      <c r="F173" s="16" t="s">
        <v>702</v>
      </c>
      <c r="G173" s="11"/>
      <c r="H173" s="11"/>
      <c r="I173" s="12">
        <v>1</v>
      </c>
      <c r="J173" s="12">
        <v>3</v>
      </c>
      <c r="K173" s="13" t="str">
        <f>HYPERLINK("http://twitter.com","Twitter Web Client")</f>
        <v>Twitter Web Client</v>
      </c>
      <c r="L173" s="12">
        <v>2675</v>
      </c>
      <c r="M173" s="12">
        <v>2205</v>
      </c>
      <c r="N173" s="12">
        <v>22</v>
      </c>
      <c r="O173" s="14"/>
      <c r="P173" s="6">
        <v>40757.492430555554</v>
      </c>
      <c r="Q173" s="15" t="s">
        <v>185</v>
      </c>
      <c r="R173" s="17" t="s">
        <v>703</v>
      </c>
      <c r="S173" s="11"/>
      <c r="T173" s="11"/>
      <c r="U173" s="10" t="str">
        <f>HYPERLINK("https://pbs.twimg.com/profile_images/917786777691320321/yQf_G8w9.jpg","View")</f>
        <v>View</v>
      </c>
    </row>
    <row r="174" spans="1:21" ht="51">
      <c r="A174" s="6">
        <v>43442.251388888893</v>
      </c>
      <c r="B174" s="7" t="str">
        <f t="shared" ref="B174:B175" si="47">HYPERLINK("https://twitter.com/bitMomentum","@bitMomentum")</f>
        <v>@bitMomentum</v>
      </c>
      <c r="C174" s="8" t="s">
        <v>82</v>
      </c>
      <c r="D174" s="9" t="s">
        <v>704</v>
      </c>
      <c r="E174" s="10" t="str">
        <f>HYPERLINK("https://twitter.com/bitMomentum/status/1071268633890951169","1071268633890951169")</f>
        <v>1071268633890951169</v>
      </c>
      <c r="F174" s="11"/>
      <c r="G174" s="11"/>
      <c r="H174" s="11"/>
      <c r="I174" s="12">
        <v>0</v>
      </c>
      <c r="J174" s="12">
        <v>0</v>
      </c>
      <c r="K174" s="13" t="str">
        <f t="shared" ref="K174:K175" si="48">HYPERLINK("http://www.bitmomentum.com","bitMomentum Bot")</f>
        <v>bitMomentum Bot</v>
      </c>
      <c r="L174" s="12">
        <v>10253</v>
      </c>
      <c r="M174" s="12">
        <v>1059</v>
      </c>
      <c r="N174" s="12">
        <v>263</v>
      </c>
      <c r="O174" s="14"/>
      <c r="P174" s="6">
        <v>41608.667511574073</v>
      </c>
      <c r="Q174" s="11"/>
      <c r="R174" s="17" t="s">
        <v>84</v>
      </c>
      <c r="S174" s="16" t="s">
        <v>85</v>
      </c>
      <c r="T174" s="11"/>
      <c r="U174" s="10" t="str">
        <f t="shared" ref="U174:U175" si="49">HYPERLINK("https://pbs.twimg.com/profile_images/378800000862185241/20ij2H3u.png","View")</f>
        <v>View</v>
      </c>
    </row>
    <row r="175" spans="1:21" ht="51">
      <c r="A175" s="6">
        <v>43442.250694444447</v>
      </c>
      <c r="B175" s="7" t="str">
        <f t="shared" si="47"/>
        <v>@bitMomentum</v>
      </c>
      <c r="C175" s="8" t="s">
        <v>82</v>
      </c>
      <c r="D175" s="9" t="s">
        <v>705</v>
      </c>
      <c r="E175" s="10" t="str">
        <f>HYPERLINK("https://twitter.com/bitMomentum/status/1071268382182395904","1071268382182395904")</f>
        <v>1071268382182395904</v>
      </c>
      <c r="F175" s="11"/>
      <c r="G175" s="11"/>
      <c r="H175" s="11"/>
      <c r="I175" s="12">
        <v>0</v>
      </c>
      <c r="J175" s="12">
        <v>0</v>
      </c>
      <c r="K175" s="13" t="str">
        <f t="shared" si="48"/>
        <v>bitMomentum Bot</v>
      </c>
      <c r="L175" s="12">
        <v>10253</v>
      </c>
      <c r="M175" s="12">
        <v>1059</v>
      </c>
      <c r="N175" s="12">
        <v>263</v>
      </c>
      <c r="O175" s="14"/>
      <c r="P175" s="6">
        <v>41608.667511574073</v>
      </c>
      <c r="Q175" s="11"/>
      <c r="R175" s="17" t="s">
        <v>84</v>
      </c>
      <c r="S175" s="16" t="s">
        <v>85</v>
      </c>
      <c r="T175" s="11"/>
      <c r="U175" s="10" t="str">
        <f t="shared" si="49"/>
        <v>View</v>
      </c>
    </row>
    <row r="176" spans="1:21" ht="30.6">
      <c r="A176" s="6">
        <v>43442.2497337963</v>
      </c>
      <c r="B176" s="7" t="str">
        <f>HYPERLINK("https://twitter.com/lavoxviva","@lavoxviva")</f>
        <v>@lavoxviva</v>
      </c>
      <c r="C176" s="8" t="s">
        <v>706</v>
      </c>
      <c r="D176" s="9" t="s">
        <v>707</v>
      </c>
      <c r="E176" s="10" t="str">
        <f>HYPERLINK("https://twitter.com/lavoxviva/status/1071268036101967872","1071268036101967872")</f>
        <v>1071268036101967872</v>
      </c>
      <c r="F176" s="16" t="s">
        <v>708</v>
      </c>
      <c r="G176" s="11"/>
      <c r="H176" s="11"/>
      <c r="I176" s="12">
        <v>4</v>
      </c>
      <c r="J176" s="12">
        <v>4</v>
      </c>
      <c r="K176" s="13" t="str">
        <f>HYPERLINK("http://twitter.com","Twitter Web Client")</f>
        <v>Twitter Web Client</v>
      </c>
      <c r="L176" s="12">
        <v>86</v>
      </c>
      <c r="M176" s="12">
        <v>73</v>
      </c>
      <c r="N176" s="12">
        <v>1</v>
      </c>
      <c r="O176" s="14"/>
      <c r="P176" s="6">
        <v>43082.406747685185</v>
      </c>
      <c r="Q176" s="15" t="s">
        <v>709</v>
      </c>
      <c r="R176" s="18"/>
      <c r="S176" s="11"/>
      <c r="T176" s="11"/>
      <c r="U176" s="10" t="str">
        <f>HYPERLINK("https://pbs.twimg.com/profile_images/1032042910496243712/uolxSyqG.jpg","View")</f>
        <v>View</v>
      </c>
    </row>
    <row r="177" spans="1:21" ht="30.6">
      <c r="A177" s="6">
        <v>43442.230740740742</v>
      </c>
      <c r="B177" s="7" t="str">
        <f>HYPERLINK("https://twitter.com/SocratesTuitero","@SocratesTuitero")</f>
        <v>@SocratesTuitero</v>
      </c>
      <c r="C177" s="8" t="s">
        <v>710</v>
      </c>
      <c r="D177" s="9" t="s">
        <v>711</v>
      </c>
      <c r="E177" s="10" t="str">
        <f>HYPERLINK("https://twitter.com/SocratesTuitero/status/1071261150816423936","1071261150816423936")</f>
        <v>1071261150816423936</v>
      </c>
      <c r="F177" s="11"/>
      <c r="G177" s="11"/>
      <c r="H177" s="11"/>
      <c r="I177" s="12">
        <v>0</v>
      </c>
      <c r="J177" s="12">
        <v>0</v>
      </c>
      <c r="K177" s="13" t="str">
        <f>HYPERLINK("http://twitter.com/download/android","Twitter for Android")</f>
        <v>Twitter for Android</v>
      </c>
      <c r="L177" s="12">
        <v>47</v>
      </c>
      <c r="M177" s="12">
        <v>361</v>
      </c>
      <c r="N177" s="12">
        <v>0</v>
      </c>
      <c r="O177" s="14"/>
      <c r="P177" s="6">
        <v>43186.733032407406</v>
      </c>
      <c r="Q177" s="15" t="s">
        <v>712</v>
      </c>
      <c r="R177" s="17" t="s">
        <v>713</v>
      </c>
      <c r="S177" s="11"/>
      <c r="T177" s="11"/>
      <c r="U177" s="10" t="str">
        <f>HYPERLINK("https://pbs.twimg.com/profile_images/978663827737907202/Z5vJiv9V.jpg","View")</f>
        <v>View</v>
      </c>
    </row>
    <row r="178" spans="1:21" ht="40.799999999999997">
      <c r="A178" s="6">
        <v>43442.21565972222</v>
      </c>
      <c r="B178" s="7" t="str">
        <f>HYPERLINK("https://twitter.com/LfilodelabrechA","@LfilodelabrechA")</f>
        <v>@LfilodelabrechA</v>
      </c>
      <c r="C178" s="8" t="s">
        <v>714</v>
      </c>
      <c r="D178" s="9" t="s">
        <v>715</v>
      </c>
      <c r="E178" s="10" t="str">
        <f>HYPERLINK("https://twitter.com/LfilodelabrechA/status/1071255688406556672","1071255688406556672")</f>
        <v>1071255688406556672</v>
      </c>
      <c r="F178" s="11"/>
      <c r="G178" s="16" t="s">
        <v>716</v>
      </c>
      <c r="H178" s="11"/>
      <c r="I178" s="12">
        <v>0</v>
      </c>
      <c r="J178" s="12">
        <v>1</v>
      </c>
      <c r="K178" s="13" t="str">
        <f>HYPERLINK("http://twitter.com","Twitter Web Client")</f>
        <v>Twitter Web Client</v>
      </c>
      <c r="L178" s="12">
        <v>21395</v>
      </c>
      <c r="M178" s="12">
        <v>16322</v>
      </c>
      <c r="N178" s="12">
        <v>155</v>
      </c>
      <c r="O178" s="14"/>
      <c r="P178" s="6">
        <v>41995.189953703702</v>
      </c>
      <c r="Q178" s="15" t="s">
        <v>717</v>
      </c>
      <c r="R178" s="17" t="s">
        <v>718</v>
      </c>
      <c r="S178" s="16" t="s">
        <v>719</v>
      </c>
      <c r="T178" s="11"/>
      <c r="U178" s="10" t="str">
        <f>HYPERLINK("https://pbs.twimg.com/profile_images/1015231495512915968/1SaMhOsw.jpg","View")</f>
        <v>View</v>
      </c>
    </row>
    <row r="179" spans="1:21" ht="51">
      <c r="A179" s="6">
        <v>43442.209722222222</v>
      </c>
      <c r="B179" s="7" t="str">
        <f t="shared" ref="B179:B180" si="50">HYPERLINK("https://twitter.com/bitMomentum","@bitMomentum")</f>
        <v>@bitMomentum</v>
      </c>
      <c r="C179" s="8" t="s">
        <v>82</v>
      </c>
      <c r="D179" s="9" t="s">
        <v>720</v>
      </c>
      <c r="E179" s="10" t="str">
        <f>HYPERLINK("https://twitter.com/bitMomentum/status/1071253534232993794","1071253534232993794")</f>
        <v>1071253534232993794</v>
      </c>
      <c r="F179" s="11"/>
      <c r="G179" s="11"/>
      <c r="H179" s="11"/>
      <c r="I179" s="12">
        <v>0</v>
      </c>
      <c r="J179" s="12">
        <v>0</v>
      </c>
      <c r="K179" s="13" t="str">
        <f t="shared" ref="K179:K180" si="51">HYPERLINK("http://www.bitmomentum.com","bitMomentum Bot")</f>
        <v>bitMomentum Bot</v>
      </c>
      <c r="L179" s="12">
        <v>10253</v>
      </c>
      <c r="M179" s="12">
        <v>1059</v>
      </c>
      <c r="N179" s="12">
        <v>263</v>
      </c>
      <c r="O179" s="14"/>
      <c r="P179" s="6">
        <v>41608.667511574073</v>
      </c>
      <c r="Q179" s="11"/>
      <c r="R179" s="17" t="s">
        <v>84</v>
      </c>
      <c r="S179" s="16" t="s">
        <v>85</v>
      </c>
      <c r="T179" s="11"/>
      <c r="U179" s="10" t="str">
        <f t="shared" ref="U179:U180" si="52">HYPERLINK("https://pbs.twimg.com/profile_images/378800000862185241/20ij2H3u.png","View")</f>
        <v>View</v>
      </c>
    </row>
    <row r="180" spans="1:21" ht="51">
      <c r="A180" s="6">
        <v>43442.209027777775</v>
      </c>
      <c r="B180" s="7" t="str">
        <f t="shared" si="50"/>
        <v>@bitMomentum</v>
      </c>
      <c r="C180" s="8" t="s">
        <v>82</v>
      </c>
      <c r="D180" s="9" t="s">
        <v>721</v>
      </c>
      <c r="E180" s="10" t="str">
        <f>HYPERLINK("https://twitter.com/bitMomentum/status/1071253282679599104","1071253282679599104")</f>
        <v>1071253282679599104</v>
      </c>
      <c r="F180" s="11"/>
      <c r="G180" s="11"/>
      <c r="H180" s="11"/>
      <c r="I180" s="12">
        <v>0</v>
      </c>
      <c r="J180" s="12">
        <v>0</v>
      </c>
      <c r="K180" s="13" t="str">
        <f t="shared" si="51"/>
        <v>bitMomentum Bot</v>
      </c>
      <c r="L180" s="12">
        <v>10253</v>
      </c>
      <c r="M180" s="12">
        <v>1059</v>
      </c>
      <c r="N180" s="12">
        <v>263</v>
      </c>
      <c r="O180" s="14"/>
      <c r="P180" s="6">
        <v>41608.667511574073</v>
      </c>
      <c r="Q180" s="11"/>
      <c r="R180" s="17" t="s">
        <v>84</v>
      </c>
      <c r="S180" s="16" t="s">
        <v>85</v>
      </c>
      <c r="T180" s="11"/>
      <c r="U180" s="10" t="str">
        <f t="shared" si="52"/>
        <v>View</v>
      </c>
    </row>
    <row r="181" spans="1:21" ht="51">
      <c r="A181" s="6">
        <v>43442.193842592591</v>
      </c>
      <c r="B181" s="7" t="str">
        <f>HYPERLINK("https://twitter.com/ChupaChups_Club","@ChupaChups_Club")</f>
        <v>@ChupaChups_Club</v>
      </c>
      <c r="C181" s="8" t="s">
        <v>722</v>
      </c>
      <c r="D181" s="9" t="s">
        <v>723</v>
      </c>
      <c r="E181" s="10" t="str">
        <f>HYPERLINK("https://twitter.com/ChupaChups_Club/status/1071247781854093313","1071247781854093313")</f>
        <v>1071247781854093313</v>
      </c>
      <c r="F181" s="16" t="s">
        <v>516</v>
      </c>
      <c r="G181" s="16" t="s">
        <v>517</v>
      </c>
      <c r="H181" s="11"/>
      <c r="I181" s="12">
        <v>0</v>
      </c>
      <c r="J181" s="12">
        <v>0</v>
      </c>
      <c r="K181" s="13" t="str">
        <f>HYPERLINK("http://twitter.com/download/iphone","Twitter for iPhone")</f>
        <v>Twitter for iPhone</v>
      </c>
      <c r="L181" s="12">
        <v>271</v>
      </c>
      <c r="M181" s="12">
        <v>91</v>
      </c>
      <c r="N181" s="12">
        <v>19</v>
      </c>
      <c r="O181" s="14"/>
      <c r="P181" s="6">
        <v>40163.036666666667</v>
      </c>
      <c r="Q181" s="15" t="s">
        <v>724</v>
      </c>
      <c r="R181" s="17" t="s">
        <v>725</v>
      </c>
      <c r="S181" s="11"/>
      <c r="T181" s="11"/>
      <c r="U181" s="10" t="str">
        <f>HYPERLINK("https://pbs.twimg.com/profile_images/3091842364/4b1a72c3730b870fb8b854b09b1e24ff.jpeg","View")</f>
        <v>View</v>
      </c>
    </row>
    <row r="182" spans="1:21" ht="51">
      <c r="A182" s="6">
        <v>43442.168668981481</v>
      </c>
      <c r="B182" s="7" t="str">
        <f>HYPERLINK("https://twitter.com/pcaparros","@pcaparros")</f>
        <v>@pcaparros</v>
      </c>
      <c r="C182" s="8" t="s">
        <v>726</v>
      </c>
      <c r="D182" s="9" t="s">
        <v>727</v>
      </c>
      <c r="E182" s="10" t="str">
        <f>HYPERLINK("https://twitter.com/pcaparros/status/1071238656881508352","1071238656881508352")</f>
        <v>1071238656881508352</v>
      </c>
      <c r="F182" s="11"/>
      <c r="G182" s="11"/>
      <c r="H182" s="11"/>
      <c r="I182" s="12">
        <v>0</v>
      </c>
      <c r="J182" s="12">
        <v>0</v>
      </c>
      <c r="K182" s="13" t="str">
        <f>HYPERLINK("http://twitter.com/#!/download/ipad","Twitter for iPad")</f>
        <v>Twitter for iPad</v>
      </c>
      <c r="L182" s="12">
        <v>432</v>
      </c>
      <c r="M182" s="12">
        <v>1258</v>
      </c>
      <c r="N182" s="12">
        <v>3</v>
      </c>
      <c r="O182" s="14"/>
      <c r="P182" s="6">
        <v>40232.749166666668</v>
      </c>
      <c r="Q182" s="11"/>
      <c r="R182" s="17" t="s">
        <v>728</v>
      </c>
      <c r="S182" s="11"/>
      <c r="T182" s="11"/>
      <c r="U182" s="10" t="str">
        <f>HYPERLINK("https://pbs.twimg.com/profile_images/1070111312741613570/pRnwsVK-.jpg","View")</f>
        <v>View</v>
      </c>
    </row>
    <row r="183" spans="1:21" ht="51">
      <c r="A183" s="6">
        <v>43442.16805555555</v>
      </c>
      <c r="B183" s="7" t="str">
        <f t="shared" ref="B183:B184" si="53">HYPERLINK("https://twitter.com/bitMomentum","@bitMomentum")</f>
        <v>@bitMomentum</v>
      </c>
      <c r="C183" s="8" t="s">
        <v>82</v>
      </c>
      <c r="D183" s="9" t="s">
        <v>729</v>
      </c>
      <c r="E183" s="10" t="str">
        <f>HYPERLINK("https://twitter.com/bitMomentum/status/1071238434868658177","1071238434868658177")</f>
        <v>1071238434868658177</v>
      </c>
      <c r="F183" s="11"/>
      <c r="G183" s="11"/>
      <c r="H183" s="11"/>
      <c r="I183" s="12">
        <v>2</v>
      </c>
      <c r="J183" s="12">
        <v>1</v>
      </c>
      <c r="K183" s="13" t="str">
        <f t="shared" ref="K183:K184" si="54">HYPERLINK("http://www.bitmomentum.com","bitMomentum Bot")</f>
        <v>bitMomentum Bot</v>
      </c>
      <c r="L183" s="12">
        <v>10253</v>
      </c>
      <c r="M183" s="12">
        <v>1059</v>
      </c>
      <c r="N183" s="12">
        <v>263</v>
      </c>
      <c r="O183" s="14"/>
      <c r="P183" s="6">
        <v>41608.667511574073</v>
      </c>
      <c r="Q183" s="11"/>
      <c r="R183" s="17" t="s">
        <v>84</v>
      </c>
      <c r="S183" s="16" t="s">
        <v>85</v>
      </c>
      <c r="T183" s="11"/>
      <c r="U183" s="10" t="str">
        <f t="shared" ref="U183:U184" si="55">HYPERLINK("https://pbs.twimg.com/profile_images/378800000862185241/20ij2H3u.png","View")</f>
        <v>View</v>
      </c>
    </row>
    <row r="184" spans="1:21" ht="51">
      <c r="A184" s="6">
        <v>43442.167361111111</v>
      </c>
      <c r="B184" s="7" t="str">
        <f t="shared" si="53"/>
        <v>@bitMomentum</v>
      </c>
      <c r="C184" s="8" t="s">
        <v>82</v>
      </c>
      <c r="D184" s="9" t="s">
        <v>730</v>
      </c>
      <c r="E184" s="10" t="str">
        <f>HYPERLINK("https://twitter.com/bitMomentum/status/1071238183013281799","1071238183013281799")</f>
        <v>1071238183013281799</v>
      </c>
      <c r="F184" s="11"/>
      <c r="G184" s="11"/>
      <c r="H184" s="11"/>
      <c r="I184" s="12">
        <v>1</v>
      </c>
      <c r="J184" s="12">
        <v>0</v>
      </c>
      <c r="K184" s="13" t="str">
        <f t="shared" si="54"/>
        <v>bitMomentum Bot</v>
      </c>
      <c r="L184" s="12">
        <v>10253</v>
      </c>
      <c r="M184" s="12">
        <v>1059</v>
      </c>
      <c r="N184" s="12">
        <v>263</v>
      </c>
      <c r="O184" s="14"/>
      <c r="P184" s="6">
        <v>41608.667511574073</v>
      </c>
      <c r="Q184" s="11"/>
      <c r="R184" s="17" t="s">
        <v>84</v>
      </c>
      <c r="S184" s="16" t="s">
        <v>85</v>
      </c>
      <c r="T184" s="11"/>
      <c r="U184" s="10" t="str">
        <f t="shared" si="55"/>
        <v>View</v>
      </c>
    </row>
    <row r="185" spans="1:21" ht="61.2">
      <c r="A185" s="6">
        <v>43442.166759259257</v>
      </c>
      <c r="B185" s="7" t="str">
        <f>HYPERLINK("https://twitter.com/StarBut63455464","@StarBut63455464")</f>
        <v>@StarBut63455464</v>
      </c>
      <c r="C185" s="8" t="s">
        <v>731</v>
      </c>
      <c r="D185" s="9" t="s">
        <v>732</v>
      </c>
      <c r="E185" s="10" t="str">
        <f>HYPERLINK("https://twitter.com/StarBut63455464/status/1071237966708858880","1071237966708858880")</f>
        <v>1071237966708858880</v>
      </c>
      <c r="F185" s="11"/>
      <c r="G185" s="11"/>
      <c r="H185" s="11"/>
      <c r="I185" s="12">
        <v>1</v>
      </c>
      <c r="J185" s="12">
        <v>1</v>
      </c>
      <c r="K185" s="13" t="str">
        <f>HYPERLINK("http://twitter.com/download/iphone","Twitter for iPhone")</f>
        <v>Twitter for iPhone</v>
      </c>
      <c r="L185" s="12">
        <v>64</v>
      </c>
      <c r="M185" s="12">
        <v>109</v>
      </c>
      <c r="N185" s="12">
        <v>0</v>
      </c>
      <c r="O185" s="14"/>
      <c r="P185" s="6">
        <v>43322.544629629629</v>
      </c>
      <c r="Q185" s="11"/>
      <c r="R185" s="18"/>
      <c r="S185" s="11"/>
      <c r="T185" s="11"/>
      <c r="U185" s="10" t="str">
        <f>HYPERLINK("https://pbs.twimg.com/profile_images/1027874980502151169/UDAvrnaF.jpg","View")</f>
        <v>View</v>
      </c>
    </row>
    <row r="186" spans="1:21" ht="40.799999999999997">
      <c r="A186" s="6">
        <v>43442.141041666662</v>
      </c>
      <c r="B186" s="7" t="str">
        <f>HYPERLINK("https://twitter.com/akula1414","@akula1414")</f>
        <v>@akula1414</v>
      </c>
      <c r="C186" s="8" t="s">
        <v>733</v>
      </c>
      <c r="D186" s="9" t="s">
        <v>734</v>
      </c>
      <c r="E186" s="10" t="str">
        <f>HYPERLINK("https://twitter.com/akula1414/status/1071228646562639872","1071228646562639872")</f>
        <v>1071228646562639872</v>
      </c>
      <c r="F186" s="16" t="s">
        <v>735</v>
      </c>
      <c r="G186" s="11"/>
      <c r="H186" s="11"/>
      <c r="I186" s="12">
        <v>5</v>
      </c>
      <c r="J186" s="12">
        <v>7</v>
      </c>
      <c r="K186" s="13" t="str">
        <f>HYPERLINK("http://twitter.com/download/android","Twitter for Android")</f>
        <v>Twitter for Android</v>
      </c>
      <c r="L186" s="12">
        <v>1438</v>
      </c>
      <c r="M186" s="12">
        <v>2076</v>
      </c>
      <c r="N186" s="12">
        <v>4</v>
      </c>
      <c r="O186" s="14"/>
      <c r="P186" s="6">
        <v>41447.691851851851</v>
      </c>
      <c r="Q186" s="15" t="s">
        <v>736</v>
      </c>
      <c r="R186" s="17" t="s">
        <v>737</v>
      </c>
      <c r="S186" s="11"/>
      <c r="T186" s="11"/>
      <c r="U186" s="10" t="str">
        <f>HYPERLINK("https://pbs.twimg.com/profile_images/1063830204282531840/KQZoygaP.jpg","View")</f>
        <v>View</v>
      </c>
    </row>
    <row r="187" spans="1:21" ht="40.799999999999997">
      <c r="A187" s="6">
        <v>43442.139421296291</v>
      </c>
      <c r="B187" s="7" t="str">
        <f>HYPERLINK("https://twitter.com/ToniXS7","@ToniXS7")</f>
        <v>@ToniXS7</v>
      </c>
      <c r="C187" s="8" t="s">
        <v>738</v>
      </c>
      <c r="D187" s="9" t="s">
        <v>739</v>
      </c>
      <c r="E187" s="10" t="str">
        <f>HYPERLINK("https://twitter.com/ToniXS7/status/1071228060207341568","1071228060207341568")</f>
        <v>1071228060207341568</v>
      </c>
      <c r="F187" s="16" t="s">
        <v>740</v>
      </c>
      <c r="G187" s="16" t="s">
        <v>741</v>
      </c>
      <c r="H187" s="11"/>
      <c r="I187" s="12">
        <v>0</v>
      </c>
      <c r="J187" s="12">
        <v>1</v>
      </c>
      <c r="K187" s="13" t="str">
        <f>HYPERLINK("http://twitter.com/download/iphone","Twitter for iPhone")</f>
        <v>Twitter for iPhone</v>
      </c>
      <c r="L187" s="12">
        <v>478</v>
      </c>
      <c r="M187" s="12">
        <v>1125</v>
      </c>
      <c r="N187" s="12">
        <v>8</v>
      </c>
      <c r="O187" s="14"/>
      <c r="P187" s="6">
        <v>40662.936979166669</v>
      </c>
      <c r="Q187" s="15" t="s">
        <v>742</v>
      </c>
      <c r="R187" s="17" t="s">
        <v>743</v>
      </c>
      <c r="S187" s="16" t="s">
        <v>744</v>
      </c>
      <c r="T187" s="11"/>
      <c r="U187" s="10" t="str">
        <f>HYPERLINK("https://pbs.twimg.com/profile_images/1035066539723169792/7WJ9QOZv.jpg","View")</f>
        <v>View</v>
      </c>
    </row>
    <row r="188" spans="1:21" ht="51">
      <c r="A188" s="6">
        <v>43442.136342592596</v>
      </c>
      <c r="B188" s="7" t="str">
        <f t="shared" ref="B188:B189" si="56">HYPERLINK("https://twitter.com/TransUPM","@TransUPM")</f>
        <v>@TransUPM</v>
      </c>
      <c r="C188" s="8" t="s">
        <v>293</v>
      </c>
      <c r="D188" s="9" t="s">
        <v>745</v>
      </c>
      <c r="E188" s="10" t="str">
        <f>HYPERLINK("https://twitter.com/TransUPM/status/1071226943612338179","1071226943612338179")</f>
        <v>1071226943612338179</v>
      </c>
      <c r="F188" s="15" t="s">
        <v>746</v>
      </c>
      <c r="G188" s="11"/>
      <c r="H188" s="11"/>
      <c r="I188" s="12">
        <v>0</v>
      </c>
      <c r="J188" s="12">
        <v>0</v>
      </c>
      <c r="K188" s="13" t="str">
        <f t="shared" ref="K188:K189" si="57">HYPERLINK("http://twitter.com/#!/download/ipad","Twitter for iPad")</f>
        <v>Twitter for iPad</v>
      </c>
      <c r="L188" s="12">
        <v>742</v>
      </c>
      <c r="M188" s="12">
        <v>748</v>
      </c>
      <c r="N188" s="12">
        <v>25</v>
      </c>
      <c r="O188" s="14"/>
      <c r="P188" s="6">
        <v>40990.723449074074</v>
      </c>
      <c r="Q188" s="15" t="s">
        <v>296</v>
      </c>
      <c r="R188" s="17" t="s">
        <v>297</v>
      </c>
      <c r="S188" s="11"/>
      <c r="T188" s="11"/>
      <c r="U188" s="10" t="str">
        <f t="shared" ref="U188:U189" si="58">HYPERLINK("https://pbs.twimg.com/profile_images/991114054189109250/998-LfOp.jpg","View")</f>
        <v>View</v>
      </c>
    </row>
    <row r="189" spans="1:21" ht="81.599999999999994">
      <c r="A189" s="6">
        <v>43442.132604166662</v>
      </c>
      <c r="B189" s="7" t="str">
        <f t="shared" si="56"/>
        <v>@TransUPM</v>
      </c>
      <c r="C189" s="8" t="s">
        <v>293</v>
      </c>
      <c r="D189" s="9" t="s">
        <v>747</v>
      </c>
      <c r="E189" s="10" t="str">
        <f>HYPERLINK("https://twitter.com/TransUPM/status/1071225587556073478","1071225587556073478")</f>
        <v>1071225587556073478</v>
      </c>
      <c r="F189" s="15" t="s">
        <v>748</v>
      </c>
      <c r="G189" s="11"/>
      <c r="H189" s="11"/>
      <c r="I189" s="12">
        <v>0</v>
      </c>
      <c r="J189" s="12">
        <v>0</v>
      </c>
      <c r="K189" s="13" t="str">
        <f t="shared" si="57"/>
        <v>Twitter for iPad</v>
      </c>
      <c r="L189" s="12">
        <v>742</v>
      </c>
      <c r="M189" s="12">
        <v>748</v>
      </c>
      <c r="N189" s="12">
        <v>25</v>
      </c>
      <c r="O189" s="14"/>
      <c r="P189" s="6">
        <v>40990.723449074074</v>
      </c>
      <c r="Q189" s="15" t="s">
        <v>296</v>
      </c>
      <c r="R189" s="17" t="s">
        <v>297</v>
      </c>
      <c r="S189" s="11"/>
      <c r="T189" s="11"/>
      <c r="U189" s="10" t="str">
        <f t="shared" si="58"/>
        <v>View</v>
      </c>
    </row>
    <row r="190" spans="1:21" ht="51">
      <c r="A190" s="6">
        <v>43442.126388888893</v>
      </c>
      <c r="B190" s="7" t="str">
        <f t="shared" ref="B190:B191" si="59">HYPERLINK("https://twitter.com/bitMomentum","@bitMomentum")</f>
        <v>@bitMomentum</v>
      </c>
      <c r="C190" s="8" t="s">
        <v>82</v>
      </c>
      <c r="D190" s="9" t="s">
        <v>749</v>
      </c>
      <c r="E190" s="10" t="str">
        <f>HYPERLINK("https://twitter.com/bitMomentum/status/1071223335374200834","1071223335374200834")</f>
        <v>1071223335374200834</v>
      </c>
      <c r="F190" s="11"/>
      <c r="G190" s="11"/>
      <c r="H190" s="11"/>
      <c r="I190" s="12">
        <v>0</v>
      </c>
      <c r="J190" s="12">
        <v>0</v>
      </c>
      <c r="K190" s="13" t="str">
        <f t="shared" ref="K190:K191" si="60">HYPERLINK("http://www.bitmomentum.com","bitMomentum Bot")</f>
        <v>bitMomentum Bot</v>
      </c>
      <c r="L190" s="12">
        <v>10253</v>
      </c>
      <c r="M190" s="12">
        <v>1059</v>
      </c>
      <c r="N190" s="12">
        <v>263</v>
      </c>
      <c r="O190" s="14"/>
      <c r="P190" s="6">
        <v>41608.667511574073</v>
      </c>
      <c r="Q190" s="11"/>
      <c r="R190" s="17" t="s">
        <v>84</v>
      </c>
      <c r="S190" s="16" t="s">
        <v>85</v>
      </c>
      <c r="T190" s="11"/>
      <c r="U190" s="10" t="str">
        <f t="shared" ref="U190:U191" si="61">HYPERLINK("https://pbs.twimg.com/profile_images/378800000862185241/20ij2H3u.png","View")</f>
        <v>View</v>
      </c>
    </row>
    <row r="191" spans="1:21" ht="51">
      <c r="A191" s="6">
        <v>43442.125694444447</v>
      </c>
      <c r="B191" s="7" t="str">
        <f t="shared" si="59"/>
        <v>@bitMomentum</v>
      </c>
      <c r="C191" s="8" t="s">
        <v>82</v>
      </c>
      <c r="D191" s="9" t="s">
        <v>750</v>
      </c>
      <c r="E191" s="10" t="str">
        <f>HYPERLINK("https://twitter.com/bitMomentum/status/1071223083674058754","1071223083674058754")</f>
        <v>1071223083674058754</v>
      </c>
      <c r="F191" s="11"/>
      <c r="G191" s="11"/>
      <c r="H191" s="11"/>
      <c r="I191" s="12">
        <v>0</v>
      </c>
      <c r="J191" s="12">
        <v>1</v>
      </c>
      <c r="K191" s="13" t="str">
        <f t="shared" si="60"/>
        <v>bitMomentum Bot</v>
      </c>
      <c r="L191" s="12">
        <v>10253</v>
      </c>
      <c r="M191" s="12">
        <v>1059</v>
      </c>
      <c r="N191" s="12">
        <v>263</v>
      </c>
      <c r="O191" s="14"/>
      <c r="P191" s="6">
        <v>41608.667511574073</v>
      </c>
      <c r="Q191" s="11"/>
      <c r="R191" s="17" t="s">
        <v>84</v>
      </c>
      <c r="S191" s="16" t="s">
        <v>85</v>
      </c>
      <c r="T191" s="11"/>
      <c r="U191" s="10" t="str">
        <f t="shared" si="61"/>
        <v>View</v>
      </c>
    </row>
    <row r="192" spans="1:21" ht="51">
      <c r="A192" s="6">
        <v>43442.112268518518</v>
      </c>
      <c r="B192" s="7" t="str">
        <f>HYPERLINK("https://twitter.com/nanobarrios77","@nanobarrios77")</f>
        <v>@nanobarrios77</v>
      </c>
      <c r="C192" s="8" t="s">
        <v>751</v>
      </c>
      <c r="D192" s="9" t="s">
        <v>752</v>
      </c>
      <c r="E192" s="10" t="str">
        <f>HYPERLINK("https://twitter.com/nanobarrios77/status/1071218219879411714","1071218219879411714")</f>
        <v>1071218219879411714</v>
      </c>
      <c r="F192" s="11"/>
      <c r="G192" s="11"/>
      <c r="H192" s="11"/>
      <c r="I192" s="12">
        <v>0</v>
      </c>
      <c r="J192" s="12">
        <v>1</v>
      </c>
      <c r="K192" s="13" t="str">
        <f>HYPERLINK("http://twitter.com/download/android","Twitter for Android")</f>
        <v>Twitter for Android</v>
      </c>
      <c r="L192" s="12">
        <v>25</v>
      </c>
      <c r="M192" s="12">
        <v>83</v>
      </c>
      <c r="N192" s="12">
        <v>0</v>
      </c>
      <c r="O192" s="14"/>
      <c r="P192" s="6">
        <v>43301.905856481477</v>
      </c>
      <c r="Q192" s="11"/>
      <c r="R192" s="17" t="s">
        <v>753</v>
      </c>
      <c r="S192" s="11"/>
      <c r="T192" s="11"/>
      <c r="U192" s="10" t="str">
        <f>HYPERLINK("https://pbs.twimg.com/profile_images/1020409769918697472/X9rnWOG7.jpg","View")</f>
        <v>View</v>
      </c>
    </row>
    <row r="193" spans="1:21" ht="20.399999999999999">
      <c r="A193" s="6">
        <v>43442.110798611116</v>
      </c>
      <c r="B193" s="7" t="str">
        <f>HYPERLINK("https://twitter.com/Manololorente","@Manololorente")</f>
        <v>@Manololorente</v>
      </c>
      <c r="C193" s="8" t="s">
        <v>754</v>
      </c>
      <c r="D193" s="9" t="s">
        <v>755</v>
      </c>
      <c r="E193" s="10" t="str">
        <f>HYPERLINK("https://twitter.com/Manololorente/status/1071217687886528512","1071217687886528512")</f>
        <v>1071217687886528512</v>
      </c>
      <c r="F193" s="16" t="s">
        <v>756</v>
      </c>
      <c r="G193" s="16" t="s">
        <v>757</v>
      </c>
      <c r="H193" s="11"/>
      <c r="I193" s="12">
        <v>0</v>
      </c>
      <c r="J193" s="12">
        <v>2</v>
      </c>
      <c r="K193" s="13" t="str">
        <f>HYPERLINK("http://twitter.com","Twitter Web Client")</f>
        <v>Twitter Web Client</v>
      </c>
      <c r="L193" s="12">
        <v>14348</v>
      </c>
      <c r="M193" s="12">
        <v>7855</v>
      </c>
      <c r="N193" s="12">
        <v>88</v>
      </c>
      <c r="O193" s="14"/>
      <c r="P193" s="6">
        <v>40571.602002314816</v>
      </c>
      <c r="Q193" s="15" t="s">
        <v>758</v>
      </c>
      <c r="R193" s="17" t="s">
        <v>759</v>
      </c>
      <c r="S193" s="16" t="s">
        <v>760</v>
      </c>
      <c r="T193" s="11"/>
      <c r="U193" s="10" t="str">
        <f>HYPERLINK("https://pbs.twimg.com/profile_images/1001044188690026496/DvFkg6k-.jpg","View")</f>
        <v>View</v>
      </c>
    </row>
    <row r="194" spans="1:21" ht="61.2">
      <c r="A194" s="6">
        <v>43442.099444444444</v>
      </c>
      <c r="B194" s="7" t="str">
        <f>HYPERLINK("https://twitter.com/JaimeAstarloa","@JaimeAstarloa")</f>
        <v>@JaimeAstarloa</v>
      </c>
      <c r="C194" s="8" t="s">
        <v>761</v>
      </c>
      <c r="D194" s="9" t="s">
        <v>762</v>
      </c>
      <c r="E194" s="10" t="str">
        <f>HYPERLINK("https://twitter.com/JaimeAstarloa/status/1071213572741627921","1071213572741627921")</f>
        <v>1071213572741627921</v>
      </c>
      <c r="F194" s="16" t="s">
        <v>763</v>
      </c>
      <c r="G194" s="16" t="s">
        <v>764</v>
      </c>
      <c r="H194" s="11"/>
      <c r="I194" s="12">
        <v>0</v>
      </c>
      <c r="J194" s="12">
        <v>1</v>
      </c>
      <c r="K194" s="13" t="str">
        <f>HYPERLINK("http://twitter.com/download/android","Twitter for Android")</f>
        <v>Twitter for Android</v>
      </c>
      <c r="L194" s="12">
        <v>138</v>
      </c>
      <c r="M194" s="12">
        <v>362</v>
      </c>
      <c r="N194" s="12">
        <v>2</v>
      </c>
      <c r="O194" s="14"/>
      <c r="P194" s="6">
        <v>40489.04041666667</v>
      </c>
      <c r="Q194" s="11"/>
      <c r="R194" s="17" t="s">
        <v>765</v>
      </c>
      <c r="S194" s="11"/>
      <c r="T194" s="11"/>
      <c r="U194" s="10" t="str">
        <f>HYPERLINK("https://pbs.twimg.com/profile_images/1366117287/haddock.jpeg","View")</f>
        <v>View</v>
      </c>
    </row>
    <row r="195" spans="1:21" ht="40.799999999999997">
      <c r="A195" s="6">
        <v>43442.095787037033</v>
      </c>
      <c r="B195" s="7" t="str">
        <f>HYPERLINK("https://twitter.com/yagomug","@yagomug")</f>
        <v>@yagomug</v>
      </c>
      <c r="C195" s="8" t="s">
        <v>766</v>
      </c>
      <c r="D195" s="9" t="s">
        <v>767</v>
      </c>
      <c r="E195" s="10" t="str">
        <f>HYPERLINK("https://twitter.com/yagomug/status/1071212246456561664","1071212246456561664")</f>
        <v>1071212246456561664</v>
      </c>
      <c r="F195" s="16" t="s">
        <v>768</v>
      </c>
      <c r="G195" s="11"/>
      <c r="H195" s="11"/>
      <c r="I195" s="12">
        <v>0</v>
      </c>
      <c r="J195" s="12">
        <v>0</v>
      </c>
      <c r="K195" s="13" t="str">
        <f>HYPERLINK("http://twitter.com","Twitter Web Client")</f>
        <v>Twitter Web Client</v>
      </c>
      <c r="L195" s="12">
        <v>35</v>
      </c>
      <c r="M195" s="12">
        <v>180</v>
      </c>
      <c r="N195" s="12">
        <v>0</v>
      </c>
      <c r="O195" s="14"/>
      <c r="P195" s="6">
        <v>40143.018726851849</v>
      </c>
      <c r="Q195" s="15" t="s">
        <v>612</v>
      </c>
      <c r="R195" s="17" t="s">
        <v>769</v>
      </c>
      <c r="S195" s="11"/>
      <c r="T195" s="11"/>
      <c r="U195" s="10" t="str">
        <f>HYPERLINK("https://pbs.twimg.com/profile_images/1021577001730228225/AKVq-GZK.jpg","View")</f>
        <v>View</v>
      </c>
    </row>
    <row r="196" spans="1:21" ht="30.6">
      <c r="A196" s="6">
        <v>43442.089143518519</v>
      </c>
      <c r="B196" s="7" t="str">
        <f>HYPERLINK("https://twitter.com/HTopinao","@HTopinao")</f>
        <v>@HTopinao</v>
      </c>
      <c r="C196" s="8" t="s">
        <v>770</v>
      </c>
      <c r="D196" s="9" t="s">
        <v>771</v>
      </c>
      <c r="E196" s="10" t="str">
        <f>HYPERLINK("https://twitter.com/HTopinao/status/1071209839416631297","1071209839416631297")</f>
        <v>1071209839416631297</v>
      </c>
      <c r="F196" s="16" t="s">
        <v>772</v>
      </c>
      <c r="G196" s="11"/>
      <c r="H196" s="11"/>
      <c r="I196" s="12">
        <v>0</v>
      </c>
      <c r="J196" s="12">
        <v>0</v>
      </c>
      <c r="K196" s="13" t="str">
        <f>HYPERLINK("https://mobile.twitter.com","Twitter Lite")</f>
        <v>Twitter Lite</v>
      </c>
      <c r="L196" s="12">
        <v>59</v>
      </c>
      <c r="M196" s="12">
        <v>137</v>
      </c>
      <c r="N196" s="12">
        <v>0</v>
      </c>
      <c r="O196" s="14"/>
      <c r="P196" s="6">
        <v>43363.402986111112</v>
      </c>
      <c r="Q196" s="11"/>
      <c r="R196" s="17" t="s">
        <v>773</v>
      </c>
      <c r="S196" s="11"/>
      <c r="T196" s="11"/>
      <c r="U196" s="10" t="str">
        <f>HYPERLINK("https://pbs.twimg.com/profile_images/1042684706184093697/dug--VSh.jpg","View")</f>
        <v>View</v>
      </c>
    </row>
    <row r="197" spans="1:21" ht="61.2">
      <c r="A197" s="6">
        <v>43442.08729166667</v>
      </c>
      <c r="B197" s="7" t="str">
        <f>HYPERLINK("https://twitter.com/TransUPM","@TransUPM")</f>
        <v>@TransUPM</v>
      </c>
      <c r="C197" s="8" t="s">
        <v>293</v>
      </c>
      <c r="D197" s="9" t="s">
        <v>774</v>
      </c>
      <c r="E197" s="10" t="str">
        <f>HYPERLINK("https://twitter.com/TransUPM/status/1071209167266942976","1071209167266942976")</f>
        <v>1071209167266942976</v>
      </c>
      <c r="F197" s="15" t="s">
        <v>775</v>
      </c>
      <c r="G197" s="11"/>
      <c r="H197" s="11"/>
      <c r="I197" s="12">
        <v>0</v>
      </c>
      <c r="J197" s="12">
        <v>0</v>
      </c>
      <c r="K197" s="13" t="str">
        <f>HYPERLINK("http://twitter.com/#!/download/ipad","Twitter for iPad")</f>
        <v>Twitter for iPad</v>
      </c>
      <c r="L197" s="12">
        <v>742</v>
      </c>
      <c r="M197" s="12">
        <v>748</v>
      </c>
      <c r="N197" s="12">
        <v>25</v>
      </c>
      <c r="O197" s="14"/>
      <c r="P197" s="6">
        <v>40990.723449074074</v>
      </c>
      <c r="Q197" s="15" t="s">
        <v>296</v>
      </c>
      <c r="R197" s="17" t="s">
        <v>297</v>
      </c>
      <c r="S197" s="11"/>
      <c r="T197" s="11"/>
      <c r="U197" s="10" t="str">
        <f>HYPERLINK("https://pbs.twimg.com/profile_images/991114054189109250/998-LfOp.jpg","View")</f>
        <v>View</v>
      </c>
    </row>
    <row r="198" spans="1:21" ht="20.399999999999999">
      <c r="A198" s="6">
        <v>43442.084803240738</v>
      </c>
      <c r="B198" s="7" t="str">
        <f>HYPERLINK("https://twitter.com/afrvet","@afrvet")</f>
        <v>@afrvet</v>
      </c>
      <c r="C198" s="8" t="s">
        <v>776</v>
      </c>
      <c r="D198" s="9" t="s">
        <v>777</v>
      </c>
      <c r="E198" s="10" t="str">
        <f>HYPERLINK("https://twitter.com/afrvet/status/1071208266045288449","1071208266045288449")</f>
        <v>1071208266045288449</v>
      </c>
      <c r="F198" s="16" t="s">
        <v>778</v>
      </c>
      <c r="G198" s="11"/>
      <c r="H198" s="11"/>
      <c r="I198" s="12">
        <v>1</v>
      </c>
      <c r="J198" s="12">
        <v>3</v>
      </c>
      <c r="K198" s="13" t="str">
        <f>HYPERLINK("http://twitter.com","Twitter Web Client")</f>
        <v>Twitter Web Client</v>
      </c>
      <c r="L198" s="12">
        <v>2013</v>
      </c>
      <c r="M198" s="12">
        <v>1525</v>
      </c>
      <c r="N198" s="12">
        <v>26</v>
      </c>
      <c r="O198" s="14"/>
      <c r="P198" s="6">
        <v>40000.540173611109</v>
      </c>
      <c r="Q198" s="15" t="s">
        <v>779</v>
      </c>
      <c r="R198" s="18"/>
      <c r="S198" s="11"/>
      <c r="T198" s="11"/>
      <c r="U198" s="10" t="str">
        <f>HYPERLINK("https://pbs.twimg.com/profile_images/929461322105925633/P_CtDrkl.jpg","View")</f>
        <v>View</v>
      </c>
    </row>
    <row r="199" spans="1:21" ht="51">
      <c r="A199" s="6">
        <v>43442.084722222222</v>
      </c>
      <c r="B199" s="7" t="str">
        <f t="shared" ref="B199:B200" si="62">HYPERLINK("https://twitter.com/bitMomentum","@bitMomentum")</f>
        <v>@bitMomentum</v>
      </c>
      <c r="C199" s="8" t="s">
        <v>82</v>
      </c>
      <c r="D199" s="9" t="s">
        <v>780</v>
      </c>
      <c r="E199" s="10" t="str">
        <f>HYPERLINK("https://twitter.com/bitMomentum/status/1071208235871412224","1071208235871412224")</f>
        <v>1071208235871412224</v>
      </c>
      <c r="F199" s="11"/>
      <c r="G199" s="11"/>
      <c r="H199" s="11"/>
      <c r="I199" s="12">
        <v>0</v>
      </c>
      <c r="J199" s="12">
        <v>0</v>
      </c>
      <c r="K199" s="13" t="str">
        <f t="shared" ref="K199:K200" si="63">HYPERLINK("http://www.bitmomentum.com","bitMomentum Bot")</f>
        <v>bitMomentum Bot</v>
      </c>
      <c r="L199" s="12">
        <v>10253</v>
      </c>
      <c r="M199" s="12">
        <v>1059</v>
      </c>
      <c r="N199" s="12">
        <v>263</v>
      </c>
      <c r="O199" s="14"/>
      <c r="P199" s="6">
        <v>41608.667511574073</v>
      </c>
      <c r="Q199" s="11"/>
      <c r="R199" s="17" t="s">
        <v>84</v>
      </c>
      <c r="S199" s="16" t="s">
        <v>85</v>
      </c>
      <c r="T199" s="11"/>
      <c r="U199" s="10" t="str">
        <f t="shared" ref="U199:U200" si="64">HYPERLINK("https://pbs.twimg.com/profile_images/378800000862185241/20ij2H3u.png","View")</f>
        <v>View</v>
      </c>
    </row>
    <row r="200" spans="1:21" ht="51">
      <c r="A200" s="6">
        <v>43442.084027777775</v>
      </c>
      <c r="B200" s="7" t="str">
        <f t="shared" si="62"/>
        <v>@bitMomentum</v>
      </c>
      <c r="C200" s="8" t="s">
        <v>82</v>
      </c>
      <c r="D200" s="9" t="s">
        <v>781</v>
      </c>
      <c r="E200" s="10" t="str">
        <f>HYPERLINK("https://twitter.com/bitMomentum/status/1071207984250937344","1071207984250937344")</f>
        <v>1071207984250937344</v>
      </c>
      <c r="F200" s="11"/>
      <c r="G200" s="11"/>
      <c r="H200" s="11"/>
      <c r="I200" s="12">
        <v>1</v>
      </c>
      <c r="J200" s="12">
        <v>0</v>
      </c>
      <c r="K200" s="13" t="str">
        <f t="shared" si="63"/>
        <v>bitMomentum Bot</v>
      </c>
      <c r="L200" s="12">
        <v>10253</v>
      </c>
      <c r="M200" s="12">
        <v>1059</v>
      </c>
      <c r="N200" s="12">
        <v>263</v>
      </c>
      <c r="O200" s="14"/>
      <c r="P200" s="6">
        <v>41608.667511574073</v>
      </c>
      <c r="Q200" s="11"/>
      <c r="R200" s="17" t="s">
        <v>84</v>
      </c>
      <c r="S200" s="16" t="s">
        <v>85</v>
      </c>
      <c r="T200" s="11"/>
      <c r="U200" s="10" t="str">
        <f t="shared" si="64"/>
        <v>View</v>
      </c>
    </row>
    <row r="201" spans="1:21" ht="71.400000000000006">
      <c r="A201" s="6">
        <v>43442.076365740737</v>
      </c>
      <c r="B201" s="7" t="str">
        <f>HYPERLINK("https://twitter.com/MutisAlejandro","@MutisAlejandro")</f>
        <v>@MutisAlejandro</v>
      </c>
      <c r="C201" s="8" t="s">
        <v>782</v>
      </c>
      <c r="D201" s="9" t="s">
        <v>783</v>
      </c>
      <c r="E201" s="10" t="str">
        <f>HYPERLINK("https://twitter.com/MutisAlejandro/status/1071205211040026626","1071205211040026626")</f>
        <v>1071205211040026626</v>
      </c>
      <c r="F201" s="11"/>
      <c r="G201" s="16" t="s">
        <v>784</v>
      </c>
      <c r="H201" s="11"/>
      <c r="I201" s="12">
        <v>0</v>
      </c>
      <c r="J201" s="12">
        <v>0</v>
      </c>
      <c r="K201" s="13" t="str">
        <f>HYPERLINK("http://twitter.com/download/android","Twitter for Android")</f>
        <v>Twitter for Android</v>
      </c>
      <c r="L201" s="12">
        <v>2185</v>
      </c>
      <c r="M201" s="12">
        <v>2344</v>
      </c>
      <c r="N201" s="12">
        <v>35</v>
      </c>
      <c r="O201" s="14"/>
      <c r="P201" s="6">
        <v>40845.559363425928</v>
      </c>
      <c r="Q201" s="15" t="s">
        <v>197</v>
      </c>
      <c r="R201" s="17" t="s">
        <v>785</v>
      </c>
      <c r="S201" s="16" t="s">
        <v>786</v>
      </c>
      <c r="T201" s="11"/>
      <c r="U201" s="10" t="str">
        <f>HYPERLINK("https://pbs.twimg.com/profile_images/1012335158710718464/VWXHt596.jpg","View")</f>
        <v>View</v>
      </c>
    </row>
    <row r="202" spans="1:21" ht="61.2">
      <c r="A202" s="6">
        <v>43442.071921296301</v>
      </c>
      <c r="B202" s="7" t="str">
        <f>HYPERLINK("https://twitter.com/Belmezanito","@Belmezanito")</f>
        <v>@Belmezanito</v>
      </c>
      <c r="C202" s="8" t="s">
        <v>787</v>
      </c>
      <c r="D202" s="9" t="s">
        <v>788</v>
      </c>
      <c r="E202" s="10" t="str">
        <f>HYPERLINK("https://twitter.com/Belmezanito/status/1071203596329541632","1071203596329541632")</f>
        <v>1071203596329541632</v>
      </c>
      <c r="F202" s="15" t="s">
        <v>789</v>
      </c>
      <c r="G202" s="11"/>
      <c r="H202" s="11"/>
      <c r="I202" s="12">
        <v>0</v>
      </c>
      <c r="J202" s="12">
        <v>0</v>
      </c>
      <c r="K202" s="13" t="str">
        <f>HYPERLINK("http://twitter.com/download/iphone","Twitter for iPhone")</f>
        <v>Twitter for iPhone</v>
      </c>
      <c r="L202" s="12">
        <v>1617</v>
      </c>
      <c r="M202" s="12">
        <v>2013</v>
      </c>
      <c r="N202" s="12">
        <v>21</v>
      </c>
      <c r="O202" s="14"/>
      <c r="P202" s="6">
        <v>40673.120069444441</v>
      </c>
      <c r="Q202" s="15" t="s">
        <v>790</v>
      </c>
      <c r="R202" s="17" t="s">
        <v>791</v>
      </c>
      <c r="S202" s="16" t="s">
        <v>792</v>
      </c>
      <c r="T202" s="11"/>
      <c r="U202" s="10" t="str">
        <f>HYPERLINK("https://pbs.twimg.com/profile_images/1066136861570154498/w2incLWt.jpg","View")</f>
        <v>View</v>
      </c>
    </row>
    <row r="203" spans="1:21" ht="40.799999999999997">
      <c r="A203" s="6">
        <v>43442.071608796294</v>
      </c>
      <c r="B203" s="7" t="str">
        <f>HYPERLINK("https://twitter.com/pcaparros","@pcaparros")</f>
        <v>@pcaparros</v>
      </c>
      <c r="C203" s="8" t="s">
        <v>726</v>
      </c>
      <c r="D203" s="9" t="s">
        <v>793</v>
      </c>
      <c r="E203" s="10" t="str">
        <f>HYPERLINK("https://twitter.com/pcaparros/status/1071203485058781189","1071203485058781189")</f>
        <v>1071203485058781189</v>
      </c>
      <c r="F203" s="11"/>
      <c r="G203" s="16" t="s">
        <v>794</v>
      </c>
      <c r="H203" s="11"/>
      <c r="I203" s="12">
        <v>0</v>
      </c>
      <c r="J203" s="12">
        <v>0</v>
      </c>
      <c r="K203" s="13" t="str">
        <f t="shared" ref="K203:K204" si="65">HYPERLINK("http://twitter.com/#!/download/ipad","Twitter for iPad")</f>
        <v>Twitter for iPad</v>
      </c>
      <c r="L203" s="12">
        <v>432</v>
      </c>
      <c r="M203" s="12">
        <v>1258</v>
      </c>
      <c r="N203" s="12">
        <v>3</v>
      </c>
      <c r="O203" s="14"/>
      <c r="P203" s="6">
        <v>40232.749166666668</v>
      </c>
      <c r="Q203" s="11"/>
      <c r="R203" s="17" t="s">
        <v>728</v>
      </c>
      <c r="S203" s="11"/>
      <c r="T203" s="11"/>
      <c r="U203" s="10" t="str">
        <f>HYPERLINK("https://pbs.twimg.com/profile_images/1070111312741613570/pRnwsVK-.jpg","View")</f>
        <v>View</v>
      </c>
    </row>
    <row r="204" spans="1:21" ht="51">
      <c r="A204" s="6">
        <v>43442.0700462963</v>
      </c>
      <c r="B204" s="7" t="str">
        <f>HYPERLINK("https://twitter.com/allaneras","@allaneras")</f>
        <v>@allaneras</v>
      </c>
      <c r="C204" s="8" t="s">
        <v>268</v>
      </c>
      <c r="D204" s="9" t="s">
        <v>795</v>
      </c>
      <c r="E204" s="10" t="str">
        <f>HYPERLINK("https://twitter.com/allaneras/status/1071202919909855233","1071202919909855233")</f>
        <v>1071202919909855233</v>
      </c>
      <c r="F204" s="16" t="s">
        <v>796</v>
      </c>
      <c r="G204" s="11"/>
      <c r="H204" s="11"/>
      <c r="I204" s="12">
        <v>4</v>
      </c>
      <c r="J204" s="12">
        <v>6</v>
      </c>
      <c r="K204" s="13" t="str">
        <f t="shared" si="65"/>
        <v>Twitter for iPad</v>
      </c>
      <c r="L204" s="12">
        <v>1298</v>
      </c>
      <c r="M204" s="12">
        <v>1028</v>
      </c>
      <c r="N204" s="12">
        <v>17</v>
      </c>
      <c r="O204" s="14"/>
      <c r="P204" s="6">
        <v>40965.131932870368</v>
      </c>
      <c r="Q204" s="15" t="s">
        <v>274</v>
      </c>
      <c r="R204" s="17" t="s">
        <v>275</v>
      </c>
      <c r="S204" s="11"/>
      <c r="T204" s="11"/>
      <c r="U204" s="10" t="str">
        <f>HYPERLINK("https://pbs.twimg.com/profile_images/946156392188203008/-o2mrWQq.jpg","View")</f>
        <v>View</v>
      </c>
    </row>
    <row r="205" spans="1:21" ht="51">
      <c r="A205" s="6">
        <v>43442.069513888884</v>
      </c>
      <c r="B205" s="7" t="str">
        <f>HYPERLINK("https://twitter.com/fukermix","@fukermix")</f>
        <v>@fukermix</v>
      </c>
      <c r="C205" s="8" t="s">
        <v>797</v>
      </c>
      <c r="D205" s="9" t="s">
        <v>798</v>
      </c>
      <c r="E205" s="10" t="str">
        <f>HYPERLINK("https://twitter.com/fukermix/status/1071202726619570176","1071202726619570176")</f>
        <v>1071202726619570176</v>
      </c>
      <c r="F205" s="11"/>
      <c r="G205" s="11"/>
      <c r="H205" s="11"/>
      <c r="I205" s="12">
        <v>0</v>
      </c>
      <c r="J205" s="12">
        <v>0</v>
      </c>
      <c r="K205" s="13" t="str">
        <f t="shared" ref="K205:K206" si="66">HYPERLINK("http://twitter.com/download/iphone","Twitter for iPhone")</f>
        <v>Twitter for iPhone</v>
      </c>
      <c r="L205" s="12">
        <v>288</v>
      </c>
      <c r="M205" s="12">
        <v>703</v>
      </c>
      <c r="N205" s="12">
        <v>5</v>
      </c>
      <c r="O205" s="14"/>
      <c r="P205" s="6">
        <v>40329.718796296293</v>
      </c>
      <c r="Q205" s="15" t="s">
        <v>799</v>
      </c>
      <c r="R205" s="25" t="s">
        <v>800</v>
      </c>
      <c r="S205" s="11"/>
      <c r="T205" s="11"/>
      <c r="U205" s="10" t="str">
        <f>HYPERLINK("https://pbs.twimg.com/profile_images/3738212782/7721dd0a0b154af39e42a2baea041f08.jpeg","View")</f>
        <v>View</v>
      </c>
    </row>
    <row r="206" spans="1:21" ht="40.799999999999997">
      <c r="A206" s="6">
        <v>43442.061469907407</v>
      </c>
      <c r="B206" s="7" t="str">
        <f>HYPERLINK("https://twitter.com/Pena_Mou_Bogota","@Pena_Mou_Bogota")</f>
        <v>@Pena_Mou_Bogota</v>
      </c>
      <c r="C206" s="8" t="s">
        <v>801</v>
      </c>
      <c r="D206" s="9" t="s">
        <v>802</v>
      </c>
      <c r="E206" s="10" t="str">
        <f>HYPERLINK("https://twitter.com/Pena_Mou_Bogota/status/1071199810261274624","1071199810261274624")</f>
        <v>1071199810261274624</v>
      </c>
      <c r="F206" s="11"/>
      <c r="G206" s="16" t="s">
        <v>803</v>
      </c>
      <c r="H206" s="11"/>
      <c r="I206" s="12">
        <v>0</v>
      </c>
      <c r="J206" s="12">
        <v>0</v>
      </c>
      <c r="K206" s="13" t="str">
        <f t="shared" si="66"/>
        <v>Twitter for iPhone</v>
      </c>
      <c r="L206" s="12">
        <v>1395</v>
      </c>
      <c r="M206" s="12">
        <v>2228</v>
      </c>
      <c r="N206" s="12">
        <v>12</v>
      </c>
      <c r="O206" s="14"/>
      <c r="P206" s="6">
        <v>41478.826608796298</v>
      </c>
      <c r="Q206" s="11"/>
      <c r="R206" s="17" t="s">
        <v>804</v>
      </c>
      <c r="S206" s="11"/>
      <c r="T206" s="11"/>
      <c r="U206" s="10" t="str">
        <f>HYPERLINK("https://pbs.twimg.com/profile_images/378800000176828068/c4efb709d2c3683228b718ed45069eb3.jpeg","View")</f>
        <v>View</v>
      </c>
    </row>
    <row r="207" spans="1:21" ht="51">
      <c r="A207" s="6">
        <v>43442.06077546296</v>
      </c>
      <c r="B207" s="7" t="str">
        <f>HYPERLINK("https://twitter.com/cobra_gon","@cobra_gon")</f>
        <v>@cobra_gon</v>
      </c>
      <c r="C207" s="8" t="s">
        <v>805</v>
      </c>
      <c r="D207" s="9" t="s">
        <v>806</v>
      </c>
      <c r="E207" s="10" t="str">
        <f>HYPERLINK("https://twitter.com/cobra_gon/status/1071199560071081985","1071199560071081985")</f>
        <v>1071199560071081985</v>
      </c>
      <c r="F207" s="11"/>
      <c r="G207" s="11"/>
      <c r="H207" s="11"/>
      <c r="I207" s="12">
        <v>0</v>
      </c>
      <c r="J207" s="12">
        <v>0</v>
      </c>
      <c r="K207" s="13" t="str">
        <f>HYPERLINK("http://twitter.com/download/android","Twitter for Android")</f>
        <v>Twitter for Android</v>
      </c>
      <c r="L207" s="12">
        <v>48</v>
      </c>
      <c r="M207" s="12">
        <v>103</v>
      </c>
      <c r="N207" s="12">
        <v>0</v>
      </c>
      <c r="O207" s="14"/>
      <c r="P207" s="6">
        <v>41908.715127314819</v>
      </c>
      <c r="Q207" s="15" t="s">
        <v>807</v>
      </c>
      <c r="R207" s="17" t="s">
        <v>808</v>
      </c>
      <c r="S207" s="11"/>
      <c r="T207" s="11"/>
      <c r="U207" s="10" t="str">
        <f>HYPERLINK("https://pbs.twimg.com/profile_images/1071190269444415488/5ilivNr0.jpg","View")</f>
        <v>View</v>
      </c>
    </row>
    <row r="208" spans="1:21" ht="61.2">
      <c r="A208" s="6">
        <v>43442.060185185182</v>
      </c>
      <c r="B208" s="7" t="str">
        <f>HYPERLINK("https://twitter.com/derechanacional","@derechanacional")</f>
        <v>@derechanacional</v>
      </c>
      <c r="C208" s="8" t="s">
        <v>809</v>
      </c>
      <c r="D208" s="9" t="s">
        <v>810</v>
      </c>
      <c r="E208" s="10" t="str">
        <f>HYPERLINK("https://twitter.com/derechanacional/status/1071199343456206848","1071199343456206848")</f>
        <v>1071199343456206848</v>
      </c>
      <c r="F208" s="15" t="s">
        <v>811</v>
      </c>
      <c r="G208" s="11"/>
      <c r="H208" s="11"/>
      <c r="I208" s="12">
        <v>0</v>
      </c>
      <c r="J208" s="12">
        <v>0</v>
      </c>
      <c r="K208" s="13" t="str">
        <f>HYPERLINK("https://mobile.twitter.com","Twitter Lite")</f>
        <v>Twitter Lite</v>
      </c>
      <c r="L208" s="12">
        <v>12444</v>
      </c>
      <c r="M208" s="12">
        <v>939</v>
      </c>
      <c r="N208" s="12">
        <v>57</v>
      </c>
      <c r="O208" s="14"/>
      <c r="P208" s="6">
        <v>40205.043692129628</v>
      </c>
      <c r="Q208" s="15" t="s">
        <v>185</v>
      </c>
      <c r="R208" s="17" t="s">
        <v>812</v>
      </c>
      <c r="S208" s="16" t="s">
        <v>813</v>
      </c>
      <c r="T208" s="11"/>
      <c r="U208" s="10" t="str">
        <f>HYPERLINK("https://pbs.twimg.com/profile_images/1003817558150131713/IX1-gpQG.jpg","View")</f>
        <v>View</v>
      </c>
    </row>
    <row r="209" spans="1:21" ht="30.6">
      <c r="A209" s="6">
        <v>43442.059907407413</v>
      </c>
      <c r="B209" s="7" t="str">
        <f>HYPERLINK("https://twitter.com/Jesulight86","@Jesulight86")</f>
        <v>@Jesulight86</v>
      </c>
      <c r="C209" s="8" t="s">
        <v>814</v>
      </c>
      <c r="D209" s="9" t="s">
        <v>815</v>
      </c>
      <c r="E209" s="10" t="str">
        <f>HYPERLINK("https://twitter.com/Jesulight86/status/1071199245515059200","1071199245515059200")</f>
        <v>1071199245515059200</v>
      </c>
      <c r="F209" s="11"/>
      <c r="G209" s="11"/>
      <c r="H209" s="11"/>
      <c r="I209" s="12">
        <v>0</v>
      </c>
      <c r="J209" s="12">
        <v>0</v>
      </c>
      <c r="K209" s="13" t="str">
        <f>HYPERLINK("http://twitter.com","Twitter Web Client")</f>
        <v>Twitter Web Client</v>
      </c>
      <c r="L209" s="12">
        <v>209</v>
      </c>
      <c r="M209" s="12">
        <v>591</v>
      </c>
      <c r="N209" s="12">
        <v>0</v>
      </c>
      <c r="O209" s="14"/>
      <c r="P209" s="6">
        <v>41726.823912037034</v>
      </c>
      <c r="Q209" s="11"/>
      <c r="R209" s="17" t="s">
        <v>816</v>
      </c>
      <c r="S209" s="11"/>
      <c r="T209" s="11"/>
      <c r="U209" s="10" t="str">
        <f>HYPERLINK("https://pbs.twimg.com/profile_images/982990278566072320/sOsL15Em.jpg","View")</f>
        <v>View</v>
      </c>
    </row>
    <row r="210" spans="1:21" ht="40.799999999999997">
      <c r="A210" s="6">
        <v>43442.059398148151</v>
      </c>
      <c r="B210" s="7" t="str">
        <f>HYPERLINK("https://twitter.com/CcagigalNeira","@CcagigalNeira")</f>
        <v>@CcagigalNeira</v>
      </c>
      <c r="C210" s="8" t="s">
        <v>817</v>
      </c>
      <c r="D210" s="9" t="s">
        <v>818</v>
      </c>
      <c r="E210" s="10" t="str">
        <f>HYPERLINK("https://twitter.com/CcagigalNeira/status/1071199060303011840","1071199060303011840")</f>
        <v>1071199060303011840</v>
      </c>
      <c r="F210" s="16" t="s">
        <v>516</v>
      </c>
      <c r="G210" s="16" t="s">
        <v>517</v>
      </c>
      <c r="H210" s="11"/>
      <c r="I210" s="12">
        <v>3</v>
      </c>
      <c r="J210" s="12">
        <v>5</v>
      </c>
      <c r="K210" s="13" t="str">
        <f t="shared" ref="K210:K211" si="67">HYPERLINK("http://twitter.com/download/android","Twitter for Android")</f>
        <v>Twitter for Android</v>
      </c>
      <c r="L210" s="12">
        <v>640</v>
      </c>
      <c r="M210" s="12">
        <v>206</v>
      </c>
      <c r="N210" s="12">
        <v>8</v>
      </c>
      <c r="O210" s="14"/>
      <c r="P210" s="6">
        <v>42361.670497685191</v>
      </c>
      <c r="Q210" s="15" t="s">
        <v>819</v>
      </c>
      <c r="R210" s="17" t="s">
        <v>820</v>
      </c>
      <c r="S210" s="11"/>
      <c r="T210" s="11"/>
      <c r="U210" s="10" t="str">
        <f>HYPERLINK("https://pbs.twimg.com/profile_images/893544829510144000/GWHO1DP-.jpg","View")</f>
        <v>View</v>
      </c>
    </row>
    <row r="211" spans="1:21" ht="20.399999999999999">
      <c r="A211" s="6">
        <v>43442.057789351849</v>
      </c>
      <c r="B211" s="7" t="str">
        <f>HYPERLINK("https://twitter.com/juanmabm9","@juanmabm9")</f>
        <v>@juanmabm9</v>
      </c>
      <c r="C211" s="8" t="s">
        <v>821</v>
      </c>
      <c r="D211" s="9" t="s">
        <v>822</v>
      </c>
      <c r="E211" s="10" t="str">
        <f>HYPERLINK("https://twitter.com/juanmabm9/status/1071198476866859008","1071198476866859008")</f>
        <v>1071198476866859008</v>
      </c>
      <c r="F211" s="11"/>
      <c r="G211" s="11"/>
      <c r="H211" s="11"/>
      <c r="I211" s="12">
        <v>1</v>
      </c>
      <c r="J211" s="12">
        <v>0</v>
      </c>
      <c r="K211" s="13" t="str">
        <f t="shared" si="67"/>
        <v>Twitter for Android</v>
      </c>
      <c r="L211" s="12">
        <v>203</v>
      </c>
      <c r="M211" s="12">
        <v>404</v>
      </c>
      <c r="N211" s="12">
        <v>0</v>
      </c>
      <c r="O211" s="14"/>
      <c r="P211" s="6">
        <v>40665.907557870371</v>
      </c>
      <c r="Q211" s="11"/>
      <c r="R211" s="17" t="s">
        <v>823</v>
      </c>
      <c r="S211" s="11"/>
      <c r="T211" s="11"/>
      <c r="U211" s="10" t="str">
        <f>HYPERLINK("https://pbs.twimg.com/profile_images/518531429358383104/ivBZMFgb.jpeg","View")</f>
        <v>View</v>
      </c>
    </row>
    <row r="212" spans="1:21" ht="30.6">
      <c r="A212" s="6">
        <v>43442.055243055554</v>
      </c>
      <c r="B212" s="7" t="str">
        <f>HYPERLINK("https://twitter.com/Medrilkes","@Medrilkes")</f>
        <v>@Medrilkes</v>
      </c>
      <c r="C212" s="8" t="s">
        <v>824</v>
      </c>
      <c r="D212" s="9" t="s">
        <v>825</v>
      </c>
      <c r="E212" s="10" t="str">
        <f>HYPERLINK("https://twitter.com/Medrilkes/status/1071197553251770368","1071197553251770368")</f>
        <v>1071197553251770368</v>
      </c>
      <c r="F212" s="16" t="s">
        <v>826</v>
      </c>
      <c r="G212" s="16" t="s">
        <v>827</v>
      </c>
      <c r="H212" s="11"/>
      <c r="I212" s="12">
        <v>0</v>
      </c>
      <c r="J212" s="12">
        <v>0</v>
      </c>
      <c r="K212" s="13" t="str">
        <f>HYPERLINK("http://twitter.com/download/iphone","Twitter for iPhone")</f>
        <v>Twitter for iPhone</v>
      </c>
      <c r="L212" s="12">
        <v>30</v>
      </c>
      <c r="M212" s="12">
        <v>104</v>
      </c>
      <c r="N212" s="12">
        <v>0</v>
      </c>
      <c r="O212" s="14"/>
      <c r="P212" s="6">
        <v>43283.568449074075</v>
      </c>
      <c r="Q212" s="11"/>
      <c r="R212" s="17" t="s">
        <v>828</v>
      </c>
      <c r="S212" s="11"/>
      <c r="T212" s="11"/>
      <c r="U212" s="10" t="str">
        <f>HYPERLINK("https://pbs.twimg.com/profile_images/1063781076278091776/5S4GlPCr.jpg","View")</f>
        <v>View</v>
      </c>
    </row>
    <row r="213" spans="1:21" ht="40.799999999999997">
      <c r="A213" s="6">
        <v>43442.05505787037</v>
      </c>
      <c r="B213" s="7" t="str">
        <f>HYPERLINK("https://twitter.com/ana_cre","@ana_cre")</f>
        <v>@ana_cre</v>
      </c>
      <c r="C213" s="8" t="s">
        <v>829</v>
      </c>
      <c r="D213" s="9" t="s">
        <v>830</v>
      </c>
      <c r="E213" s="10" t="str">
        <f>HYPERLINK("https://twitter.com/ana_cre/status/1071197487854170117","1071197487854170117")</f>
        <v>1071197487854170117</v>
      </c>
      <c r="F213" s="16" t="s">
        <v>831</v>
      </c>
      <c r="G213" s="11"/>
      <c r="H213" s="11"/>
      <c r="I213" s="12">
        <v>0</v>
      </c>
      <c r="J213" s="12">
        <v>0</v>
      </c>
      <c r="K213" s="13" t="str">
        <f t="shared" ref="K213:K218" si="68">HYPERLINK("http://twitter.com/download/android","Twitter for Android")</f>
        <v>Twitter for Android</v>
      </c>
      <c r="L213" s="12">
        <v>136</v>
      </c>
      <c r="M213" s="12">
        <v>139</v>
      </c>
      <c r="N213" s="12">
        <v>1</v>
      </c>
      <c r="O213" s="14"/>
      <c r="P213" s="6">
        <v>41034.82309027778</v>
      </c>
      <c r="Q213" s="11"/>
      <c r="R213" s="17" t="s">
        <v>832</v>
      </c>
      <c r="S213" s="11"/>
      <c r="T213" s="11"/>
      <c r="U213" s="10" t="str">
        <f>HYPERLINK("https://pbs.twimg.com/profile_images/608391803323195394/9rOlpgLU.jpg","View")</f>
        <v>View</v>
      </c>
    </row>
    <row r="214" spans="1:21" ht="51">
      <c r="A214" s="6">
        <v>43442.054861111115</v>
      </c>
      <c r="B214" s="7" t="str">
        <f>HYPERLINK("https://twitter.com/PasterixR","@PasterixR")</f>
        <v>@PasterixR</v>
      </c>
      <c r="C214" s="8" t="s">
        <v>833</v>
      </c>
      <c r="D214" s="9" t="s">
        <v>834</v>
      </c>
      <c r="E214" s="10" t="str">
        <f>HYPERLINK("https://twitter.com/PasterixR/status/1071197414504185857","1071197414504185857")</f>
        <v>1071197414504185857</v>
      </c>
      <c r="F214" s="11"/>
      <c r="G214" s="11"/>
      <c r="H214" s="11"/>
      <c r="I214" s="12">
        <v>0</v>
      </c>
      <c r="J214" s="12">
        <v>0</v>
      </c>
      <c r="K214" s="13" t="str">
        <f t="shared" si="68"/>
        <v>Twitter for Android</v>
      </c>
      <c r="L214" s="12">
        <v>275</v>
      </c>
      <c r="M214" s="12">
        <v>727</v>
      </c>
      <c r="N214" s="12">
        <v>1</v>
      </c>
      <c r="O214" s="14"/>
      <c r="P214" s="6">
        <v>40980.580439814818</v>
      </c>
      <c r="Q214" s="15" t="s">
        <v>835</v>
      </c>
      <c r="R214" s="17" t="s">
        <v>836</v>
      </c>
      <c r="S214" s="11"/>
      <c r="T214" s="11"/>
      <c r="U214" s="10" t="str">
        <f>HYPERLINK("https://pbs.twimg.com/profile_images/2749496674/cfa7a79f817b2951c10cf6c5f0423900.jpeg","View")</f>
        <v>View</v>
      </c>
    </row>
    <row r="215" spans="1:21" ht="91.8">
      <c r="A215" s="6">
        <v>43442.051932870367</v>
      </c>
      <c r="B215" s="7" t="str">
        <f>HYPERLINK("https://twitter.com/jessikacardozo","@jessikacardozo")</f>
        <v>@jessikacardozo</v>
      </c>
      <c r="C215" s="8" t="s">
        <v>837</v>
      </c>
      <c r="D215" s="9" t="s">
        <v>838</v>
      </c>
      <c r="E215" s="10" t="str">
        <f>HYPERLINK("https://twitter.com/jessikacardozo/status/1071196356528750592","1071196356528750592")</f>
        <v>1071196356528750592</v>
      </c>
      <c r="F215" s="16" t="s">
        <v>839</v>
      </c>
      <c r="G215" s="16" t="s">
        <v>840</v>
      </c>
      <c r="H215" s="11"/>
      <c r="I215" s="12">
        <v>0</v>
      </c>
      <c r="J215" s="12">
        <v>0</v>
      </c>
      <c r="K215" s="13" t="str">
        <f t="shared" si="68"/>
        <v>Twitter for Android</v>
      </c>
      <c r="L215" s="12">
        <v>2440</v>
      </c>
      <c r="M215" s="12">
        <v>914</v>
      </c>
      <c r="N215" s="12">
        <v>7</v>
      </c>
      <c r="O215" s="14"/>
      <c r="P215" s="6">
        <v>40416.260011574072</v>
      </c>
      <c r="Q215" s="15" t="s">
        <v>841</v>
      </c>
      <c r="R215" s="17" t="s">
        <v>842</v>
      </c>
      <c r="S215" s="11"/>
      <c r="T215" s="11"/>
      <c r="U215" s="10" t="str">
        <f>HYPERLINK("https://pbs.twimg.com/profile_images/1111014252/Jessika.jpg","View")</f>
        <v>View</v>
      </c>
    </row>
    <row r="216" spans="1:21" ht="40.799999999999997">
      <c r="A216" s="6">
        <v>43442.051238425927</v>
      </c>
      <c r="B216" s="7" t="str">
        <f>HYPERLINK("https://twitter.com/qqqqetru","@qqqqetru")</f>
        <v>@qqqqetru</v>
      </c>
      <c r="C216" s="8" t="s">
        <v>843</v>
      </c>
      <c r="D216" s="9" t="s">
        <v>844</v>
      </c>
      <c r="E216" s="10" t="str">
        <f>HYPERLINK("https://twitter.com/qqqqetru/status/1071196104342073347","1071196104342073347")</f>
        <v>1071196104342073347</v>
      </c>
      <c r="F216" s="16" t="s">
        <v>845</v>
      </c>
      <c r="G216" s="11"/>
      <c r="H216" s="11"/>
      <c r="I216" s="12">
        <v>0</v>
      </c>
      <c r="J216" s="12">
        <v>0</v>
      </c>
      <c r="K216" s="13" t="str">
        <f t="shared" si="68"/>
        <v>Twitter for Android</v>
      </c>
      <c r="L216" s="12">
        <v>649</v>
      </c>
      <c r="M216" s="12">
        <v>1194</v>
      </c>
      <c r="N216" s="12">
        <v>2</v>
      </c>
      <c r="O216" s="14"/>
      <c r="P216" s="6">
        <v>40749.437719907408</v>
      </c>
      <c r="Q216" s="11"/>
      <c r="R216" s="18"/>
      <c r="S216" s="11"/>
      <c r="T216" s="11"/>
      <c r="U216" s="10" t="str">
        <f>HYPERLINK("https://pbs.twimg.com/profile_images/1069734331780870144/d_KYpBFy.jpg","View")</f>
        <v>View</v>
      </c>
    </row>
    <row r="217" spans="1:21" ht="30.6">
      <c r="A217" s="6">
        <v>43442.048449074078</v>
      </c>
      <c r="B217" s="7" t="str">
        <f t="shared" ref="B217:B218" si="69">HYPERLINK("https://twitter.com/Puyazo2","@Puyazo2")</f>
        <v>@Puyazo2</v>
      </c>
      <c r="C217" s="8" t="s">
        <v>846</v>
      </c>
      <c r="D217" s="9" t="s">
        <v>847</v>
      </c>
      <c r="E217" s="10" t="str">
        <f>HYPERLINK("https://twitter.com/Puyazo2/status/1071195091459547138","1071195091459547138")</f>
        <v>1071195091459547138</v>
      </c>
      <c r="F217" s="16" t="s">
        <v>735</v>
      </c>
      <c r="G217" s="11"/>
      <c r="H217" s="11"/>
      <c r="I217" s="12">
        <v>4</v>
      </c>
      <c r="J217" s="12">
        <v>7</v>
      </c>
      <c r="K217" s="13" t="str">
        <f t="shared" si="68"/>
        <v>Twitter for Android</v>
      </c>
      <c r="L217" s="12">
        <v>1752</v>
      </c>
      <c r="M217" s="12">
        <v>1621</v>
      </c>
      <c r="N217" s="12">
        <v>2</v>
      </c>
      <c r="O217" s="14"/>
      <c r="P217" s="6">
        <v>43404.664039351846</v>
      </c>
      <c r="Q217" s="15" t="s">
        <v>197</v>
      </c>
      <c r="R217" s="17" t="s">
        <v>848</v>
      </c>
      <c r="S217" s="11"/>
      <c r="T217" s="11"/>
      <c r="U217" s="10" t="str">
        <f t="shared" ref="U217:U218" si="70">HYPERLINK("https://pbs.twimg.com/profile_images/1057648510265372672/oAEa8M9d.jpg","View")</f>
        <v>View</v>
      </c>
    </row>
    <row r="218" spans="1:21" ht="30.6">
      <c r="A218" s="6">
        <v>43442.048078703709</v>
      </c>
      <c r="B218" s="7" t="str">
        <f t="shared" si="69"/>
        <v>@Puyazo2</v>
      </c>
      <c r="C218" s="8" t="s">
        <v>846</v>
      </c>
      <c r="D218" s="9" t="s">
        <v>849</v>
      </c>
      <c r="E218" s="10" t="str">
        <f>HYPERLINK("https://twitter.com/Puyazo2/status/1071194956105244674","1071194956105244674")</f>
        <v>1071194956105244674</v>
      </c>
      <c r="F218" s="16" t="s">
        <v>735</v>
      </c>
      <c r="G218" s="11"/>
      <c r="H218" s="11"/>
      <c r="I218" s="12">
        <v>11</v>
      </c>
      <c r="J218" s="12">
        <v>14</v>
      </c>
      <c r="K218" s="13" t="str">
        <f t="shared" si="68"/>
        <v>Twitter for Android</v>
      </c>
      <c r="L218" s="12">
        <v>1752</v>
      </c>
      <c r="M218" s="12">
        <v>1621</v>
      </c>
      <c r="N218" s="12">
        <v>2</v>
      </c>
      <c r="O218" s="14"/>
      <c r="P218" s="6">
        <v>43404.664039351846</v>
      </c>
      <c r="Q218" s="15" t="s">
        <v>197</v>
      </c>
      <c r="R218" s="17" t="s">
        <v>848</v>
      </c>
      <c r="S218" s="11"/>
      <c r="T218" s="11"/>
      <c r="U218" s="10" t="str">
        <f t="shared" si="70"/>
        <v>View</v>
      </c>
    </row>
    <row r="219" spans="1:21" ht="40.799999999999997">
      <c r="A219" s="6">
        <v>43442.04587962963</v>
      </c>
      <c r="B219" s="7" t="str">
        <f>HYPERLINK("https://twitter.com/Mogedas","@Mogedas")</f>
        <v>@Mogedas</v>
      </c>
      <c r="C219" s="8" t="s">
        <v>850</v>
      </c>
      <c r="D219" s="9" t="s">
        <v>851</v>
      </c>
      <c r="E219" s="10" t="str">
        <f>HYPERLINK("https://twitter.com/Mogedas/status/1071194163062935557","1071194163062935557")</f>
        <v>1071194163062935557</v>
      </c>
      <c r="F219" s="11"/>
      <c r="G219" s="11"/>
      <c r="H219" s="11"/>
      <c r="I219" s="12">
        <v>0</v>
      </c>
      <c r="J219" s="12">
        <v>0</v>
      </c>
      <c r="K219" s="13" t="str">
        <f>HYPERLINK("http://twitter.com","Twitter Web Client")</f>
        <v>Twitter Web Client</v>
      </c>
      <c r="L219" s="12">
        <v>36</v>
      </c>
      <c r="M219" s="12">
        <v>424</v>
      </c>
      <c r="N219" s="12">
        <v>0</v>
      </c>
      <c r="O219" s="14"/>
      <c r="P219" s="6">
        <v>39721.72320601852</v>
      </c>
      <c r="Q219" s="15" t="s">
        <v>852</v>
      </c>
      <c r="R219" s="18"/>
      <c r="S219" s="11"/>
      <c r="T219" s="11"/>
      <c r="U219" s="10" t="str">
        <f>HYPERLINK("https://pbs.twimg.com/profile_images/3100124546/417d6f7ce82bf2b4667db5a19cd8a152.jpeg","View")</f>
        <v>View</v>
      </c>
    </row>
    <row r="220" spans="1:21" ht="20.399999999999999">
      <c r="A220" s="6">
        <v>43442.044965277775</v>
      </c>
      <c r="B220" s="7" t="str">
        <f>HYPERLINK("https://twitter.com/FreeOpinion16","@FreeOpinion16")</f>
        <v>@FreeOpinion16</v>
      </c>
      <c r="C220" s="8" t="s">
        <v>853</v>
      </c>
      <c r="D220" s="9" t="s">
        <v>854</v>
      </c>
      <c r="E220" s="10" t="str">
        <f>HYPERLINK("https://twitter.com/FreeOpinion16/status/1071193831264215040","1071193831264215040")</f>
        <v>1071193831264215040</v>
      </c>
      <c r="F220" s="11"/>
      <c r="G220" s="16" t="s">
        <v>855</v>
      </c>
      <c r="H220" s="11"/>
      <c r="I220" s="12">
        <v>0</v>
      </c>
      <c r="J220" s="12">
        <v>0</v>
      </c>
      <c r="K220" s="13" t="str">
        <f>HYPERLINK("https://mobile.twitter.com","Twitter Lite")</f>
        <v>Twitter Lite</v>
      </c>
      <c r="L220" s="12">
        <v>0</v>
      </c>
      <c r="M220" s="12">
        <v>6</v>
      </c>
      <c r="N220" s="12">
        <v>0</v>
      </c>
      <c r="O220" s="14"/>
      <c r="P220" s="6">
        <v>43278.987337962964</v>
      </c>
      <c r="Q220" s="15" t="s">
        <v>856</v>
      </c>
      <c r="R220" s="17" t="s">
        <v>857</v>
      </c>
      <c r="S220" s="11"/>
      <c r="T220" s="11"/>
      <c r="U220" s="10" t="str">
        <f>HYPERLINK("https://pbs.twimg.com/profile_images/1012089423205453824/T2A3pUxn.jpg","View")</f>
        <v>View</v>
      </c>
    </row>
    <row r="221" spans="1:21" ht="112.2">
      <c r="A221" s="6">
        <v>43442.043634259258</v>
      </c>
      <c r="B221" s="7" t="str">
        <f>HYPERLINK("https://twitter.com/BancajaEstafa","@BancajaEstafa")</f>
        <v>@BancajaEstafa</v>
      </c>
      <c r="C221" s="8" t="s">
        <v>858</v>
      </c>
      <c r="D221" s="9" t="s">
        <v>859</v>
      </c>
      <c r="E221" s="10" t="str">
        <f>HYPERLINK("https://twitter.com/BancajaEstafa/status/1071193346188681216","1071193346188681216")</f>
        <v>1071193346188681216</v>
      </c>
      <c r="F221" s="16" t="s">
        <v>860</v>
      </c>
      <c r="G221" s="11"/>
      <c r="H221" s="11"/>
      <c r="I221" s="12">
        <v>0</v>
      </c>
      <c r="J221" s="12">
        <v>1</v>
      </c>
      <c r="K221" s="13" t="str">
        <f>HYPERLINK("http://twitter.com","Twitter Web Client")</f>
        <v>Twitter Web Client</v>
      </c>
      <c r="L221" s="12">
        <v>1189</v>
      </c>
      <c r="M221" s="12">
        <v>4999</v>
      </c>
      <c r="N221" s="12">
        <v>28</v>
      </c>
      <c r="O221" s="14"/>
      <c r="P221" s="6">
        <v>42189.936469907407</v>
      </c>
      <c r="Q221" s="15" t="s">
        <v>861</v>
      </c>
      <c r="R221" s="17" t="s">
        <v>862</v>
      </c>
      <c r="S221" s="11"/>
      <c r="T221" s="11"/>
      <c r="U221" s="10" t="str">
        <f>HYPERLINK("https://pbs.twimg.com/profile_images/623951932156215296/vJAxlHSS.jpg","View")</f>
        <v>View</v>
      </c>
    </row>
    <row r="222" spans="1:21" ht="51">
      <c r="A222" s="6">
        <v>43442.04305555555</v>
      </c>
      <c r="B222" s="7" t="str">
        <f t="shared" ref="B222:B223" si="71">HYPERLINK("https://twitter.com/bitMomentum","@bitMomentum")</f>
        <v>@bitMomentum</v>
      </c>
      <c r="C222" s="8" t="s">
        <v>82</v>
      </c>
      <c r="D222" s="9" t="s">
        <v>863</v>
      </c>
      <c r="E222" s="10" t="str">
        <f>HYPERLINK("https://twitter.com/bitMomentum/status/1071193136322494465","1071193136322494465")</f>
        <v>1071193136322494465</v>
      </c>
      <c r="F222" s="11"/>
      <c r="G222" s="11"/>
      <c r="H222" s="11"/>
      <c r="I222" s="12">
        <v>0</v>
      </c>
      <c r="J222" s="12">
        <v>0</v>
      </c>
      <c r="K222" s="13" t="str">
        <f t="shared" ref="K222:K223" si="72">HYPERLINK("http://www.bitmomentum.com","bitMomentum Bot")</f>
        <v>bitMomentum Bot</v>
      </c>
      <c r="L222" s="12">
        <v>10253</v>
      </c>
      <c r="M222" s="12">
        <v>1059</v>
      </c>
      <c r="N222" s="12">
        <v>263</v>
      </c>
      <c r="O222" s="14"/>
      <c r="P222" s="6">
        <v>41608.667511574073</v>
      </c>
      <c r="Q222" s="11"/>
      <c r="R222" s="17" t="s">
        <v>84</v>
      </c>
      <c r="S222" s="16" t="s">
        <v>85</v>
      </c>
      <c r="T222" s="11"/>
      <c r="U222" s="10" t="str">
        <f t="shared" ref="U222:U223" si="73">HYPERLINK("https://pbs.twimg.com/profile_images/378800000862185241/20ij2H3u.png","View")</f>
        <v>View</v>
      </c>
    </row>
    <row r="223" spans="1:21" ht="40.799999999999997">
      <c r="A223" s="6">
        <v>43442.042361111111</v>
      </c>
      <c r="B223" s="7" t="str">
        <f t="shared" si="71"/>
        <v>@bitMomentum</v>
      </c>
      <c r="C223" s="8" t="s">
        <v>82</v>
      </c>
      <c r="D223" s="9" t="s">
        <v>864</v>
      </c>
      <c r="E223" s="10" t="str">
        <f>HYPERLINK("https://twitter.com/bitMomentum/status/1071192884819476481","1071192884819476481")</f>
        <v>1071192884819476481</v>
      </c>
      <c r="F223" s="11"/>
      <c r="G223" s="11"/>
      <c r="H223" s="11"/>
      <c r="I223" s="12">
        <v>0</v>
      </c>
      <c r="J223" s="12">
        <v>0</v>
      </c>
      <c r="K223" s="13" t="str">
        <f t="shared" si="72"/>
        <v>bitMomentum Bot</v>
      </c>
      <c r="L223" s="12">
        <v>10253</v>
      </c>
      <c r="M223" s="12">
        <v>1059</v>
      </c>
      <c r="N223" s="12">
        <v>263</v>
      </c>
      <c r="O223" s="14"/>
      <c r="P223" s="6">
        <v>41608.667511574073</v>
      </c>
      <c r="Q223" s="11"/>
      <c r="R223" s="17" t="s">
        <v>84</v>
      </c>
      <c r="S223" s="16" t="s">
        <v>85</v>
      </c>
      <c r="T223" s="11"/>
      <c r="U223" s="10" t="str">
        <f t="shared" si="73"/>
        <v>View</v>
      </c>
    </row>
    <row r="224" spans="1:21" ht="40.799999999999997">
      <c r="A224" s="6">
        <v>43442.036319444444</v>
      </c>
      <c r="B224" s="7" t="str">
        <f>HYPERLINK("https://twitter.com/vuneo","@vuneo")</f>
        <v>@vuneo</v>
      </c>
      <c r="C224" s="8" t="s">
        <v>865</v>
      </c>
      <c r="D224" s="9" t="s">
        <v>866</v>
      </c>
      <c r="E224" s="10" t="str">
        <f>HYPERLINK("https://twitter.com/vuneo/status/1071190698429464578","1071190698429464578")</f>
        <v>1071190698429464578</v>
      </c>
      <c r="F224" s="11"/>
      <c r="G224" s="16" t="s">
        <v>867</v>
      </c>
      <c r="H224" s="11"/>
      <c r="I224" s="12">
        <v>13</v>
      </c>
      <c r="J224" s="12">
        <v>12</v>
      </c>
      <c r="K224" s="13" t="str">
        <f t="shared" ref="K224:K225" si="74">HYPERLINK("http://twitter.com/download/android","Twitter for Android")</f>
        <v>Twitter for Android</v>
      </c>
      <c r="L224" s="12">
        <v>10445</v>
      </c>
      <c r="M224" s="12">
        <v>11398</v>
      </c>
      <c r="N224" s="12">
        <v>118</v>
      </c>
      <c r="O224" s="14"/>
      <c r="P224" s="6">
        <v>41547.764976851853</v>
      </c>
      <c r="Q224" s="15" t="s">
        <v>868</v>
      </c>
      <c r="R224" s="17" t="s">
        <v>869</v>
      </c>
      <c r="S224" s="11"/>
      <c r="T224" s="11"/>
      <c r="U224" s="10" t="str">
        <f>HYPERLINK("https://pbs.twimg.com/profile_images/1070815841355223043/FhrQtkY3.jpg","View")</f>
        <v>View</v>
      </c>
    </row>
    <row r="225" spans="1:21" ht="13.2">
      <c r="A225" s="6">
        <v>43442.030057870375</v>
      </c>
      <c r="B225" s="7" t="str">
        <f>HYPERLINK("https://twitter.com/HardVdG","@HardVdG")</f>
        <v>@HardVdG</v>
      </c>
      <c r="C225" s="8" t="s">
        <v>870</v>
      </c>
      <c r="D225" s="9" t="s">
        <v>871</v>
      </c>
      <c r="E225" s="10" t="str">
        <f>HYPERLINK("https://twitter.com/HardVdG/status/1071188428547592192","1071188428547592192")</f>
        <v>1071188428547592192</v>
      </c>
      <c r="F225" s="11"/>
      <c r="G225" s="11"/>
      <c r="H225" s="11"/>
      <c r="I225" s="12">
        <v>0</v>
      </c>
      <c r="J225" s="12">
        <v>0</v>
      </c>
      <c r="K225" s="13" t="str">
        <f t="shared" si="74"/>
        <v>Twitter for Android</v>
      </c>
      <c r="L225" s="12">
        <v>135</v>
      </c>
      <c r="M225" s="12">
        <v>319</v>
      </c>
      <c r="N225" s="12">
        <v>3</v>
      </c>
      <c r="O225" s="14"/>
      <c r="P225" s="6">
        <v>40497.603310185186</v>
      </c>
      <c r="Q225" s="15" t="s">
        <v>872</v>
      </c>
      <c r="R225" s="18"/>
      <c r="S225" s="11"/>
      <c r="T225" s="11"/>
      <c r="U225" s="10" t="str">
        <f>HYPERLINK("https://pbs.twimg.com/profile_images/819681697532874752/-EODEbEl.jpg","View")</f>
        <v>View</v>
      </c>
    </row>
    <row r="226" spans="1:21" ht="20.399999999999999">
      <c r="A226" s="6">
        <v>43442.010335648149</v>
      </c>
      <c r="B226" s="7" t="str">
        <f>HYPERLINK("https://twitter.com/mariaodes","@mariaodes")</f>
        <v>@mariaodes</v>
      </c>
      <c r="C226" s="8" t="s">
        <v>873</v>
      </c>
      <c r="D226" s="9" t="s">
        <v>874</v>
      </c>
      <c r="E226" s="10" t="str">
        <f>HYPERLINK("https://twitter.com/mariaodes/status/1071181278865752064","1071181278865752064")</f>
        <v>1071181278865752064</v>
      </c>
      <c r="F226" s="11"/>
      <c r="G226" s="16" t="s">
        <v>875</v>
      </c>
      <c r="H226" s="11"/>
      <c r="I226" s="12">
        <v>0</v>
      </c>
      <c r="J226" s="12">
        <v>0</v>
      </c>
      <c r="K226" s="13" t="str">
        <f>HYPERLINK("http://twitter.com/download/iphone","Twitter for iPhone")</f>
        <v>Twitter for iPhone</v>
      </c>
      <c r="L226" s="12">
        <v>17</v>
      </c>
      <c r="M226" s="12">
        <v>82</v>
      </c>
      <c r="N226" s="12">
        <v>0</v>
      </c>
      <c r="O226" s="14"/>
      <c r="P226" s="6">
        <v>42993.715312500004</v>
      </c>
      <c r="Q226" s="11"/>
      <c r="R226" s="17" t="s">
        <v>876</v>
      </c>
      <c r="S226" s="11"/>
      <c r="T226" s="11"/>
      <c r="U226" s="10" t="str">
        <f>HYPERLINK("https://pbs.twimg.com/profile_images/910527667442737153/QIX8uIi3.jpg","View")</f>
        <v>View</v>
      </c>
    </row>
    <row r="227" spans="1:21" ht="30.6">
      <c r="A227" s="6">
        <v>43442.007986111115</v>
      </c>
      <c r="B227" s="7" t="str">
        <f>HYPERLINK("https://twitter.com/Eliavelia","@Eliavelia")</f>
        <v>@Eliavelia</v>
      </c>
      <c r="C227" s="8" t="s">
        <v>877</v>
      </c>
      <c r="D227" s="9" t="s">
        <v>878</v>
      </c>
      <c r="E227" s="10" t="str">
        <f>HYPERLINK("https://twitter.com/Eliavelia/status/1071180428701298689","1071180428701298689")</f>
        <v>1071180428701298689</v>
      </c>
      <c r="F227" s="16" t="s">
        <v>879</v>
      </c>
      <c r="G227" s="11"/>
      <c r="H227" s="11"/>
      <c r="I227" s="12">
        <v>1</v>
      </c>
      <c r="J227" s="12">
        <v>0</v>
      </c>
      <c r="K227" s="13" t="str">
        <f>HYPERLINK("http://twitter.com/download/android","Twitter for Android")</f>
        <v>Twitter for Android</v>
      </c>
      <c r="L227" s="12">
        <v>1188</v>
      </c>
      <c r="M227" s="12">
        <v>1250</v>
      </c>
      <c r="N227" s="12">
        <v>22</v>
      </c>
      <c r="O227" s="14"/>
      <c r="P227" s="6">
        <v>41069.788877314815</v>
      </c>
      <c r="Q227" s="15" t="s">
        <v>56</v>
      </c>
      <c r="R227" s="17" t="s">
        <v>880</v>
      </c>
      <c r="S227" s="11"/>
      <c r="T227" s="11"/>
      <c r="U227" s="10" t="str">
        <f>HYPERLINK("https://pbs.twimg.com/profile_images/2293476750/ha7kmh5zz8fimdppp9hd.jpeg","View")</f>
        <v>View</v>
      </c>
    </row>
    <row r="228" spans="1:21" ht="51">
      <c r="A228" s="6">
        <v>43442.001388888893</v>
      </c>
      <c r="B228" s="7" t="str">
        <f t="shared" ref="B228:B229" si="75">HYPERLINK("https://twitter.com/bitMomentum","@bitMomentum")</f>
        <v>@bitMomentum</v>
      </c>
      <c r="C228" s="8" t="s">
        <v>82</v>
      </c>
      <c r="D228" s="9" t="s">
        <v>881</v>
      </c>
      <c r="E228" s="10" t="str">
        <f>HYPERLINK("https://twitter.com/bitMomentum/status/1071178037356625923","1071178037356625923")</f>
        <v>1071178037356625923</v>
      </c>
      <c r="F228" s="11"/>
      <c r="G228" s="11"/>
      <c r="H228" s="11"/>
      <c r="I228" s="12">
        <v>0</v>
      </c>
      <c r="J228" s="12">
        <v>0</v>
      </c>
      <c r="K228" s="13" t="str">
        <f t="shared" ref="K228:K229" si="76">HYPERLINK("http://www.bitmomentum.com","bitMomentum Bot")</f>
        <v>bitMomentum Bot</v>
      </c>
      <c r="L228" s="12">
        <v>10253</v>
      </c>
      <c r="M228" s="12">
        <v>1059</v>
      </c>
      <c r="N228" s="12">
        <v>263</v>
      </c>
      <c r="O228" s="14"/>
      <c r="P228" s="6">
        <v>41608.667511574073</v>
      </c>
      <c r="Q228" s="11"/>
      <c r="R228" s="17" t="s">
        <v>84</v>
      </c>
      <c r="S228" s="16" t="s">
        <v>85</v>
      </c>
      <c r="T228" s="11"/>
      <c r="U228" s="10" t="str">
        <f t="shared" ref="U228:U229" si="77">HYPERLINK("https://pbs.twimg.com/profile_images/378800000862185241/20ij2H3u.png","View")</f>
        <v>View</v>
      </c>
    </row>
    <row r="229" spans="1:21" ht="51">
      <c r="A229" s="6">
        <v>43442.000694444447</v>
      </c>
      <c r="B229" s="7" t="str">
        <f t="shared" si="75"/>
        <v>@bitMomentum</v>
      </c>
      <c r="C229" s="8" t="s">
        <v>82</v>
      </c>
      <c r="D229" s="9" t="s">
        <v>882</v>
      </c>
      <c r="E229" s="10" t="str">
        <f>HYPERLINK("https://twitter.com/bitMomentum/status/1071177785199214593","1071177785199214593")</f>
        <v>1071177785199214593</v>
      </c>
      <c r="F229" s="11"/>
      <c r="G229" s="11"/>
      <c r="H229" s="11"/>
      <c r="I229" s="12">
        <v>0</v>
      </c>
      <c r="J229" s="12">
        <v>1</v>
      </c>
      <c r="K229" s="13" t="str">
        <f t="shared" si="76"/>
        <v>bitMomentum Bot</v>
      </c>
      <c r="L229" s="12">
        <v>10253</v>
      </c>
      <c r="M229" s="12">
        <v>1059</v>
      </c>
      <c r="N229" s="12">
        <v>263</v>
      </c>
      <c r="O229" s="14"/>
      <c r="P229" s="6">
        <v>41608.667511574073</v>
      </c>
      <c r="Q229" s="11"/>
      <c r="R229" s="17" t="s">
        <v>84</v>
      </c>
      <c r="S229" s="16" t="s">
        <v>85</v>
      </c>
      <c r="T229" s="11"/>
      <c r="U229" s="10" t="str">
        <f t="shared" si="77"/>
        <v>View</v>
      </c>
    </row>
    <row r="230" spans="1:21" ht="30.6">
      <c r="A230" s="6">
        <v>43442.000555555554</v>
      </c>
      <c r="B230" s="7" t="str">
        <f>HYPERLINK("https://twitter.com/J_ParraG","@J_ParraG")</f>
        <v>@J_ParraG</v>
      </c>
      <c r="C230" s="8" t="s">
        <v>130</v>
      </c>
      <c r="D230" s="9" t="s">
        <v>883</v>
      </c>
      <c r="E230" s="10" t="str">
        <f>HYPERLINK("https://twitter.com/J_ParraG/status/1071177736708911104","1071177736708911104")</f>
        <v>1071177736708911104</v>
      </c>
      <c r="F230" s="16" t="s">
        <v>884</v>
      </c>
      <c r="G230" s="11"/>
      <c r="H230" s="11"/>
      <c r="I230" s="12">
        <v>0</v>
      </c>
      <c r="J230" s="12">
        <v>0</v>
      </c>
      <c r="K230" s="13" t="str">
        <f>HYPERLINK("http://twitter.com/download/android","Twitter for Android")</f>
        <v>Twitter for Android</v>
      </c>
      <c r="L230" s="12">
        <v>384</v>
      </c>
      <c r="M230" s="12">
        <v>972</v>
      </c>
      <c r="N230" s="12">
        <v>14</v>
      </c>
      <c r="O230" s="14"/>
      <c r="P230" s="6">
        <v>40918.953576388885</v>
      </c>
      <c r="Q230" s="15" t="s">
        <v>133</v>
      </c>
      <c r="R230" s="17" t="s">
        <v>134</v>
      </c>
      <c r="S230" s="11"/>
      <c r="T230" s="11"/>
      <c r="U230" s="10" t="str">
        <f>HYPERLINK("https://pbs.twimg.com/profile_images/1048291555134656513/KPn63Fw4.jpg","View")</f>
        <v>View</v>
      </c>
    </row>
    <row r="231" spans="1:21" ht="71.400000000000006">
      <c r="A231" s="6">
        <v>43441.994780092587</v>
      </c>
      <c r="B231" s="7" t="str">
        <f>HYPERLINK("https://twitter.com/jordinen","@jordinen")</f>
        <v>@jordinen</v>
      </c>
      <c r="C231" s="8" t="s">
        <v>885</v>
      </c>
      <c r="D231" s="9" t="s">
        <v>886</v>
      </c>
      <c r="E231" s="10" t="str">
        <f>HYPERLINK("https://twitter.com/jordinen/status/1071175644925648897","1071175644925648897")</f>
        <v>1071175644925648897</v>
      </c>
      <c r="F231" s="15" t="s">
        <v>887</v>
      </c>
      <c r="G231" s="16" t="s">
        <v>888</v>
      </c>
      <c r="H231" s="11"/>
      <c r="I231" s="12">
        <v>0</v>
      </c>
      <c r="J231" s="12">
        <v>0</v>
      </c>
      <c r="K231" s="13" t="str">
        <f t="shared" ref="K231:K232" si="78">HYPERLINK("http://twitter.com","Twitter Web Client")</f>
        <v>Twitter Web Client</v>
      </c>
      <c r="L231" s="12">
        <v>337</v>
      </c>
      <c r="M231" s="12">
        <v>298</v>
      </c>
      <c r="N231" s="12">
        <v>11</v>
      </c>
      <c r="O231" s="14"/>
      <c r="P231" s="6">
        <v>41417.027731481481</v>
      </c>
      <c r="Q231" s="15" t="s">
        <v>76</v>
      </c>
      <c r="R231" s="17" t="s">
        <v>889</v>
      </c>
      <c r="S231" s="16" t="s">
        <v>890</v>
      </c>
      <c r="T231" s="11"/>
      <c r="U231" s="10" t="str">
        <f>HYPERLINK("https://pbs.twimg.com/profile_images/739151608852951040/vG9xyE_c.jpg","View")</f>
        <v>View</v>
      </c>
    </row>
    <row r="232" spans="1:21" ht="30.6">
      <c r="A232" s="6">
        <v>43441.992337962962</v>
      </c>
      <c r="B232" s="7" t="str">
        <f>HYPERLINK("https://twitter.com/Paleocracia","@Paleocracia")</f>
        <v>@Paleocracia</v>
      </c>
      <c r="C232" s="8" t="s">
        <v>891</v>
      </c>
      <c r="D232" s="9" t="s">
        <v>892</v>
      </c>
      <c r="E232" s="10" t="str">
        <f>HYPERLINK("https://twitter.com/Paleocracia/status/1071174756639100928","1071174756639100928")</f>
        <v>1071174756639100928</v>
      </c>
      <c r="F232" s="11"/>
      <c r="G232" s="16" t="s">
        <v>893</v>
      </c>
      <c r="H232" s="11"/>
      <c r="I232" s="12">
        <v>0</v>
      </c>
      <c r="J232" s="12">
        <v>0</v>
      </c>
      <c r="K232" s="13" t="str">
        <f t="shared" si="78"/>
        <v>Twitter Web Client</v>
      </c>
      <c r="L232" s="12">
        <v>7</v>
      </c>
      <c r="M232" s="12">
        <v>22</v>
      </c>
      <c r="N232" s="12">
        <v>0</v>
      </c>
      <c r="O232" s="14"/>
      <c r="P232" s="6">
        <v>43441.565393518518</v>
      </c>
      <c r="Q232" s="11"/>
      <c r="R232" s="17" t="s">
        <v>894</v>
      </c>
      <c r="S232" s="11"/>
      <c r="T232" s="11"/>
      <c r="U232" s="10" t="str">
        <f>HYPERLINK("https://pbs.twimg.com/profile_images/1071036894555844609/RQFvV2Wd.jpg","View")</f>
        <v>View</v>
      </c>
    </row>
    <row r="233" spans="1:21" ht="40.799999999999997">
      <c r="A233" s="6">
        <v>43441.989328703705</v>
      </c>
      <c r="B233" s="7" t="str">
        <f>HYPERLINK("https://twitter.com/irenezoealameda","@irenezoealameda")</f>
        <v>@irenezoealameda</v>
      </c>
      <c r="C233" s="8" t="s">
        <v>895</v>
      </c>
      <c r="D233" s="9" t="s">
        <v>896</v>
      </c>
      <c r="E233" s="10" t="str">
        <f>HYPERLINK("https://twitter.com/irenezoealameda/status/1071173667114102786","1071173667114102786")</f>
        <v>1071173667114102786</v>
      </c>
      <c r="F233" s="16" t="s">
        <v>897</v>
      </c>
      <c r="G233" s="11"/>
      <c r="H233" s="11"/>
      <c r="I233" s="12">
        <v>1</v>
      </c>
      <c r="J233" s="12">
        <v>0</v>
      </c>
      <c r="K233" s="13" t="str">
        <f>HYPERLINK("http://twitter.com/download/iphone","Twitter for iPhone")</f>
        <v>Twitter for iPhone</v>
      </c>
      <c r="L233" s="12">
        <v>896</v>
      </c>
      <c r="M233" s="12">
        <v>50</v>
      </c>
      <c r="N233" s="12">
        <v>12</v>
      </c>
      <c r="O233" s="14"/>
      <c r="P233" s="6">
        <v>41161.083969907406</v>
      </c>
      <c r="Q233" s="15" t="s">
        <v>898</v>
      </c>
      <c r="R233" s="17" t="s">
        <v>899</v>
      </c>
      <c r="S233" s="16" t="s">
        <v>900</v>
      </c>
      <c r="T233" s="11"/>
      <c r="U233" s="10" t="str">
        <f>HYPERLINK("https://pbs.twimg.com/profile_images/884348824776581120/rcGFmwWU.jpg","View")</f>
        <v>View</v>
      </c>
    </row>
    <row r="234" spans="1:21" ht="13.2">
      <c r="A234" s="6">
        <v>43441.979675925926</v>
      </c>
      <c r="B234" s="7" t="str">
        <f>HYPERLINK("https://twitter.com/Isthar6680","@Isthar6680")</f>
        <v>@Isthar6680</v>
      </c>
      <c r="C234" s="8" t="s">
        <v>901</v>
      </c>
      <c r="D234" s="9" t="s">
        <v>902</v>
      </c>
      <c r="E234" s="10" t="str">
        <f>HYPERLINK("https://twitter.com/Isthar6680/status/1071170170293506054","1071170170293506054")</f>
        <v>1071170170293506054</v>
      </c>
      <c r="F234" s="16" t="s">
        <v>903</v>
      </c>
      <c r="G234" s="11"/>
      <c r="H234" s="11"/>
      <c r="I234" s="12">
        <v>0</v>
      </c>
      <c r="J234" s="12">
        <v>0</v>
      </c>
      <c r="K234" s="13" t="str">
        <f>HYPERLINK("http://twitter.com","Twitter Web Client")</f>
        <v>Twitter Web Client</v>
      </c>
      <c r="L234" s="12">
        <v>9</v>
      </c>
      <c r="M234" s="12">
        <v>40</v>
      </c>
      <c r="N234" s="12">
        <v>0</v>
      </c>
      <c r="O234" s="14"/>
      <c r="P234" s="6">
        <v>43047.873923611114</v>
      </c>
      <c r="Q234" s="11"/>
      <c r="R234" s="18"/>
      <c r="S234" s="11"/>
      <c r="T234" s="11"/>
      <c r="U234" s="10" t="str">
        <f>HYPERLINK("https://pbs.twimg.com/profile_images/928364736558886913/6gh_BE-A.jpg","View")</f>
        <v>View</v>
      </c>
    </row>
    <row r="235" spans="1:21" ht="51">
      <c r="A235" s="6">
        <v>43441.9769212963</v>
      </c>
      <c r="B235" s="7" t="str">
        <f>HYPERLINK("https://twitter.com/agdelucio","@agdelucio")</f>
        <v>@agdelucio</v>
      </c>
      <c r="C235" s="8" t="s">
        <v>904</v>
      </c>
      <c r="D235" s="9" t="s">
        <v>905</v>
      </c>
      <c r="E235" s="10" t="str">
        <f>HYPERLINK("https://twitter.com/agdelucio/status/1071169169654198272","1071169169654198272")</f>
        <v>1071169169654198272</v>
      </c>
      <c r="F235" s="11"/>
      <c r="G235" s="11"/>
      <c r="H235" s="11"/>
      <c r="I235" s="12">
        <v>0</v>
      </c>
      <c r="J235" s="12">
        <v>0</v>
      </c>
      <c r="K235" s="13" t="str">
        <f t="shared" ref="K235:K239" si="79">HYPERLINK("http://twitter.com/download/android","Twitter for Android")</f>
        <v>Twitter for Android</v>
      </c>
      <c r="L235" s="12">
        <v>107</v>
      </c>
      <c r="M235" s="12">
        <v>146</v>
      </c>
      <c r="N235" s="12">
        <v>9</v>
      </c>
      <c r="O235" s="14"/>
      <c r="P235" s="6">
        <v>40633.422314814816</v>
      </c>
      <c r="Q235" s="15" t="s">
        <v>906</v>
      </c>
      <c r="R235" s="17" t="s">
        <v>907</v>
      </c>
      <c r="S235" s="11"/>
      <c r="T235" s="11"/>
      <c r="U235" s="10" t="str">
        <f>HYPERLINK("https://pbs.twimg.com/profile_images/1043640318485258240/_lDUO6MQ.jpg","View")</f>
        <v>View</v>
      </c>
    </row>
    <row r="236" spans="1:21" ht="61.2">
      <c r="A236" s="6">
        <v>43441.970312500001</v>
      </c>
      <c r="B236" s="7" t="str">
        <f>HYPERLINK("https://twitter.com/Santi_ABASCAL","@Santi_ABASCAL")</f>
        <v>@Santi_ABASCAL</v>
      </c>
      <c r="C236" s="8" t="s">
        <v>422</v>
      </c>
      <c r="D236" s="9" t="s">
        <v>908</v>
      </c>
      <c r="E236" s="10" t="str">
        <f>HYPERLINK("https://twitter.com/Santi_ABASCAL/status/1071166776011055105","1071166776011055105")</f>
        <v>1071166776011055105</v>
      </c>
      <c r="F236" s="15" t="s">
        <v>909</v>
      </c>
      <c r="G236" s="11"/>
      <c r="H236" s="11"/>
      <c r="I236" s="12">
        <v>2881</v>
      </c>
      <c r="J236" s="12">
        <v>5272</v>
      </c>
      <c r="K236" s="13" t="str">
        <f t="shared" si="79"/>
        <v>Twitter for Android</v>
      </c>
      <c r="L236" s="12">
        <v>136305</v>
      </c>
      <c r="M236" s="12">
        <v>3909</v>
      </c>
      <c r="N236" s="12">
        <v>965</v>
      </c>
      <c r="O236" s="23" t="s">
        <v>89</v>
      </c>
      <c r="P236" s="6">
        <v>40606.716446759259</v>
      </c>
      <c r="Q236" s="15" t="s">
        <v>426</v>
      </c>
      <c r="R236" s="17" t="s">
        <v>427</v>
      </c>
      <c r="S236" s="16" t="s">
        <v>428</v>
      </c>
      <c r="T236" s="11"/>
      <c r="U236" s="10" t="str">
        <f>HYPERLINK("https://pbs.twimg.com/profile_images/1010488787686879232/2CnqYKlD.jpg","View")</f>
        <v>View</v>
      </c>
    </row>
    <row r="237" spans="1:21" ht="40.799999999999997">
      <c r="A237" s="6">
        <v>43441.969942129625</v>
      </c>
      <c r="B237" s="7" t="str">
        <f>HYPERLINK("https://twitter.com/Pericles_Atenas","@Pericles_Atenas")</f>
        <v>@Pericles_Atenas</v>
      </c>
      <c r="C237" s="8" t="s">
        <v>910</v>
      </c>
      <c r="D237" s="9" t="s">
        <v>911</v>
      </c>
      <c r="E237" s="10" t="str">
        <f>HYPERLINK("https://twitter.com/Pericles_Atenas/status/1071166641487167488","1071166641487167488")</f>
        <v>1071166641487167488</v>
      </c>
      <c r="F237" s="11"/>
      <c r="G237" s="11"/>
      <c r="H237" s="11"/>
      <c r="I237" s="12">
        <v>0</v>
      </c>
      <c r="J237" s="12">
        <v>0</v>
      </c>
      <c r="K237" s="13" t="str">
        <f t="shared" si="79"/>
        <v>Twitter for Android</v>
      </c>
      <c r="L237" s="12">
        <v>187</v>
      </c>
      <c r="M237" s="12">
        <v>384</v>
      </c>
      <c r="N237" s="12">
        <v>3</v>
      </c>
      <c r="O237" s="14"/>
      <c r="P237" s="6">
        <v>41507.063923611109</v>
      </c>
      <c r="Q237" s="11"/>
      <c r="R237" s="17" t="s">
        <v>912</v>
      </c>
      <c r="S237" s="11"/>
      <c r="T237" s="11"/>
      <c r="U237" s="10" t="str">
        <f>HYPERLINK("https://pbs.twimg.com/profile_images/378800000433845499/b89d5606ffa5fce7a6aef7e085101fd2.jpeg","View")</f>
        <v>View</v>
      </c>
    </row>
    <row r="238" spans="1:21" ht="30.6">
      <c r="A238" s="6">
        <v>43441.969317129631</v>
      </c>
      <c r="B238" s="7" t="str">
        <f>HYPERLINK("https://twitter.com/caencomonueces","@caencomonueces")</f>
        <v>@caencomonueces</v>
      </c>
      <c r="C238" s="8" t="s">
        <v>913</v>
      </c>
      <c r="D238" s="9" t="s">
        <v>847</v>
      </c>
      <c r="E238" s="10" t="str">
        <f>HYPERLINK("https://twitter.com/caencomonueces/status/1071166414701105152","1071166414701105152")</f>
        <v>1071166414701105152</v>
      </c>
      <c r="F238" s="16" t="s">
        <v>735</v>
      </c>
      <c r="G238" s="11"/>
      <c r="H238" s="11"/>
      <c r="I238" s="12">
        <v>0</v>
      </c>
      <c r="J238" s="12">
        <v>0</v>
      </c>
      <c r="K238" s="13" t="str">
        <f t="shared" si="79"/>
        <v>Twitter for Android</v>
      </c>
      <c r="L238" s="12">
        <v>646</v>
      </c>
      <c r="M238" s="12">
        <v>1185</v>
      </c>
      <c r="N238" s="12">
        <v>3</v>
      </c>
      <c r="O238" s="14"/>
      <c r="P238" s="6">
        <v>41242.801539351851</v>
      </c>
      <c r="Q238" s="15" t="s">
        <v>712</v>
      </c>
      <c r="R238" s="17" t="s">
        <v>914</v>
      </c>
      <c r="S238" s="11"/>
      <c r="T238" s="11"/>
      <c r="U238" s="10" t="str">
        <f>HYPERLINK("https://pbs.twimg.com/profile_images/802542076420378628/S_52YFJA.jpg","View")</f>
        <v>View</v>
      </c>
    </row>
    <row r="239" spans="1:21" ht="61.2">
      <c r="A239" s="6">
        <v>43441.968460648146</v>
      </c>
      <c r="B239" s="7" t="str">
        <f>HYPERLINK("https://twitter.com/XavierRibalta1","@XavierRibalta1")</f>
        <v>@XavierRibalta1</v>
      </c>
      <c r="C239" s="8" t="s">
        <v>915</v>
      </c>
      <c r="D239" s="9" t="s">
        <v>916</v>
      </c>
      <c r="E239" s="10" t="str">
        <f>HYPERLINK("https://twitter.com/XavierRibalta1/status/1071166104561729538","1071166104561729538")</f>
        <v>1071166104561729538</v>
      </c>
      <c r="F239" s="15" t="s">
        <v>917</v>
      </c>
      <c r="G239" s="11"/>
      <c r="H239" s="11"/>
      <c r="I239" s="12">
        <v>0</v>
      </c>
      <c r="J239" s="12">
        <v>0</v>
      </c>
      <c r="K239" s="13" t="str">
        <f t="shared" si="79"/>
        <v>Twitter for Android</v>
      </c>
      <c r="L239" s="12">
        <v>1369</v>
      </c>
      <c r="M239" s="12">
        <v>2029</v>
      </c>
      <c r="N239" s="12">
        <v>12</v>
      </c>
      <c r="O239" s="14"/>
      <c r="P239" s="6">
        <v>40808.483078703706</v>
      </c>
      <c r="Q239" s="15" t="s">
        <v>918</v>
      </c>
      <c r="R239" s="17" t="s">
        <v>919</v>
      </c>
      <c r="S239" s="11"/>
      <c r="T239" s="11"/>
      <c r="U239" s="10" t="str">
        <f>HYPERLINK("https://pbs.twimg.com/profile_images/961155365491630080/tNXss97x.jpg","View")</f>
        <v>View</v>
      </c>
    </row>
    <row r="240" spans="1:21" ht="30.6">
      <c r="A240" s="6">
        <v>43441.966921296298</v>
      </c>
      <c r="B240" s="7" t="str">
        <f>HYPERLINK("https://twitter.com/BrujulaOndaCero","@BrujulaOndaCero")</f>
        <v>@BrujulaOndaCero</v>
      </c>
      <c r="C240" s="8" t="s">
        <v>920</v>
      </c>
      <c r="D240" s="9" t="s">
        <v>921</v>
      </c>
      <c r="E240" s="10" t="str">
        <f>HYPERLINK("https://twitter.com/BrujulaOndaCero/status/1071165546798964736","1071165546798964736")</f>
        <v>1071165546798964736</v>
      </c>
      <c r="F240" s="11"/>
      <c r="G240" s="16" t="s">
        <v>922</v>
      </c>
      <c r="H240" s="11"/>
      <c r="I240" s="12">
        <v>3</v>
      </c>
      <c r="J240" s="12">
        <v>7</v>
      </c>
      <c r="K240" s="13" t="str">
        <f t="shared" ref="K240:K242" si="80">HYPERLINK("http://twitter.com","Twitter Web Client")</f>
        <v>Twitter Web Client</v>
      </c>
      <c r="L240" s="12">
        <v>87949</v>
      </c>
      <c r="M240" s="12">
        <v>1162</v>
      </c>
      <c r="N240" s="12">
        <v>1463</v>
      </c>
      <c r="O240" s="23" t="s">
        <v>89</v>
      </c>
      <c r="P240" s="6">
        <v>40557.455752314811</v>
      </c>
      <c r="Q240" s="11"/>
      <c r="R240" s="17" t="s">
        <v>923</v>
      </c>
      <c r="S240" s="16" t="s">
        <v>924</v>
      </c>
      <c r="T240" s="11"/>
      <c r="U240" s="10" t="str">
        <f>HYPERLINK("https://pbs.twimg.com/profile_images/1217122255/perfil-tweet.jpg","View")</f>
        <v>View</v>
      </c>
    </row>
    <row r="241" spans="1:21" ht="20.399999999999999">
      <c r="A241" s="6">
        <v>43441.96466435185</v>
      </c>
      <c r="B241" s="7" t="str">
        <f>HYPERLINK("https://twitter.com/ianhazlitt","@ianhazlitt")</f>
        <v>@ianhazlitt</v>
      </c>
      <c r="C241" s="8" t="s">
        <v>925</v>
      </c>
      <c r="D241" s="9" t="s">
        <v>926</v>
      </c>
      <c r="E241" s="10" t="str">
        <f>HYPERLINK("https://twitter.com/ianhazlitt/status/1071164728259608578","1071164728259608578")</f>
        <v>1071164728259608578</v>
      </c>
      <c r="F241" s="16" t="s">
        <v>778</v>
      </c>
      <c r="G241" s="11"/>
      <c r="H241" s="11"/>
      <c r="I241" s="12">
        <v>2</v>
      </c>
      <c r="J241" s="12">
        <v>5</v>
      </c>
      <c r="K241" s="13" t="str">
        <f t="shared" si="80"/>
        <v>Twitter Web Client</v>
      </c>
      <c r="L241" s="12">
        <v>2094</v>
      </c>
      <c r="M241" s="12">
        <v>196</v>
      </c>
      <c r="N241" s="12">
        <v>72</v>
      </c>
      <c r="O241" s="14"/>
      <c r="P241" s="6">
        <v>40044.377280092594</v>
      </c>
      <c r="Q241" s="15" t="s">
        <v>927</v>
      </c>
      <c r="R241" s="26" t="s">
        <v>928</v>
      </c>
      <c r="S241" s="16" t="s">
        <v>929</v>
      </c>
      <c r="T241" s="11"/>
      <c r="U241" s="10" t="str">
        <f>HYPERLINK("https://pbs.twimg.com/profile_images/1028387990849183744/5Zcje10O.jpg","View")</f>
        <v>View</v>
      </c>
    </row>
    <row r="242" spans="1:21" ht="20.399999999999999">
      <c r="A242" s="6">
        <v>43441.964432870373</v>
      </c>
      <c r="B242" s="7" t="str">
        <f>HYPERLINK("https://twitter.com/Taxitronco","@Taxitronco")</f>
        <v>@Taxitronco</v>
      </c>
      <c r="C242" s="8" t="s">
        <v>930</v>
      </c>
      <c r="D242" s="9" t="s">
        <v>931</v>
      </c>
      <c r="E242" s="10" t="str">
        <f>HYPERLINK("https://twitter.com/Taxitronco/status/1071164644482527234","1071164644482527234")</f>
        <v>1071164644482527234</v>
      </c>
      <c r="F242" s="16" t="s">
        <v>932</v>
      </c>
      <c r="G242" s="11"/>
      <c r="H242" s="11"/>
      <c r="I242" s="12">
        <v>1</v>
      </c>
      <c r="J242" s="12">
        <v>1</v>
      </c>
      <c r="K242" s="13" t="str">
        <f t="shared" si="80"/>
        <v>Twitter Web Client</v>
      </c>
      <c r="L242" s="12">
        <v>1903</v>
      </c>
      <c r="M242" s="12">
        <v>2853</v>
      </c>
      <c r="N242" s="12">
        <v>4</v>
      </c>
      <c r="O242" s="14"/>
      <c r="P242" s="6">
        <v>42552.690937499996</v>
      </c>
      <c r="Q242" s="15" t="s">
        <v>933</v>
      </c>
      <c r="R242" s="18"/>
      <c r="S242" s="11"/>
      <c r="T242" s="11"/>
      <c r="U242" s="10" t="str">
        <f>HYPERLINK("https://pbs.twimg.com/profile_images/940930599447158785/hCNS6-YP.jpg","View")</f>
        <v>View</v>
      </c>
    </row>
    <row r="243" spans="1:21" ht="40.799999999999997">
      <c r="A243" s="6">
        <v>43441.961041666669</v>
      </c>
      <c r="B243" s="7" t="str">
        <f>HYPERLINK("https://twitter.com/xesoul","@xesoul")</f>
        <v>@xesoul</v>
      </c>
      <c r="C243" s="8" t="s">
        <v>934</v>
      </c>
      <c r="D243" s="9" t="s">
        <v>935</v>
      </c>
      <c r="E243" s="10" t="str">
        <f>HYPERLINK("https://twitter.com/xesoul/status/1071163414993666048","1071163414993666048")</f>
        <v>1071163414993666048</v>
      </c>
      <c r="F243" s="16" t="s">
        <v>936</v>
      </c>
      <c r="G243" s="11"/>
      <c r="H243" s="11"/>
      <c r="I243" s="12">
        <v>7</v>
      </c>
      <c r="J243" s="12">
        <v>5</v>
      </c>
      <c r="K243" s="13" t="str">
        <f t="shared" ref="K243:K244" si="81">HYPERLINK("http://twitter.com/download/android","Twitter for Android")</f>
        <v>Twitter for Android</v>
      </c>
      <c r="L243" s="12">
        <v>3345</v>
      </c>
      <c r="M243" s="12">
        <v>4244</v>
      </c>
      <c r="N243" s="12">
        <v>16</v>
      </c>
      <c r="O243" s="14"/>
      <c r="P243" s="6">
        <v>42511.657442129625</v>
      </c>
      <c r="Q243" s="15" t="s">
        <v>937</v>
      </c>
      <c r="R243" s="17" t="s">
        <v>938</v>
      </c>
      <c r="S243" s="11"/>
      <c r="T243" s="11"/>
      <c r="U243" s="10" t="str">
        <f>HYPERLINK("https://pbs.twimg.com/profile_images/734108117416480768/FSK7wiQ7.jpg","View")</f>
        <v>View</v>
      </c>
    </row>
    <row r="244" spans="1:21" ht="51">
      <c r="A244" s="6">
        <v>43441.960474537038</v>
      </c>
      <c r="B244" s="7" t="str">
        <f>HYPERLINK("https://twitter.com/gol_las","@gol_las")</f>
        <v>@gol_las</v>
      </c>
      <c r="C244" s="8" t="s">
        <v>939</v>
      </c>
      <c r="D244" s="9" t="s">
        <v>940</v>
      </c>
      <c r="E244" s="10" t="str">
        <f>HYPERLINK("https://twitter.com/gol_las/status/1071163213226672128","1071163213226672128")</f>
        <v>1071163213226672128</v>
      </c>
      <c r="F244" s="16" t="s">
        <v>516</v>
      </c>
      <c r="G244" s="16" t="s">
        <v>517</v>
      </c>
      <c r="H244" s="11"/>
      <c r="I244" s="12">
        <v>5</v>
      </c>
      <c r="J244" s="12">
        <v>4</v>
      </c>
      <c r="K244" s="13" t="str">
        <f t="shared" si="81"/>
        <v>Twitter for Android</v>
      </c>
      <c r="L244" s="12">
        <v>378</v>
      </c>
      <c r="M244" s="12">
        <v>276</v>
      </c>
      <c r="N244" s="12">
        <v>9</v>
      </c>
      <c r="O244" s="14"/>
      <c r="P244" s="6">
        <v>42537.78025462963</v>
      </c>
      <c r="Q244" s="11"/>
      <c r="R244" s="17" t="s">
        <v>941</v>
      </c>
      <c r="S244" s="11"/>
      <c r="T244" s="11"/>
      <c r="U244" s="10" t="str">
        <f>HYPERLINK("https://pbs.twimg.com/profile_images/911689835575947264/jTDSmSvY.jpg","View")</f>
        <v>View</v>
      </c>
    </row>
    <row r="245" spans="1:21" ht="20.399999999999999">
      <c r="A245" s="6">
        <v>43441.95685185185</v>
      </c>
      <c r="B245" s="7" t="str">
        <f>HYPERLINK("https://twitter.com/OBoriba","@OBoriba")</f>
        <v>@OBoriba</v>
      </c>
      <c r="C245" s="8" t="s">
        <v>942</v>
      </c>
      <c r="D245" s="9" t="s">
        <v>315</v>
      </c>
      <c r="E245" s="10" t="str">
        <f>HYPERLINK("https://twitter.com/OBoriba/status/1071161898043871232","1071161898043871232")</f>
        <v>1071161898043871232</v>
      </c>
      <c r="F245" s="16" t="s">
        <v>943</v>
      </c>
      <c r="G245" s="11"/>
      <c r="H245" s="11"/>
      <c r="I245" s="12">
        <v>3</v>
      </c>
      <c r="J245" s="12">
        <v>5</v>
      </c>
      <c r="K245" s="13" t="str">
        <f>HYPERLINK("http://twitter.com","Twitter Web Client")</f>
        <v>Twitter Web Client</v>
      </c>
      <c r="L245" s="12">
        <v>706</v>
      </c>
      <c r="M245" s="12">
        <v>1528</v>
      </c>
      <c r="N245" s="12">
        <v>9</v>
      </c>
      <c r="O245" s="14"/>
      <c r="P245" s="6">
        <v>42151.558587962965</v>
      </c>
      <c r="Q245" s="11"/>
      <c r="R245" s="18"/>
      <c r="S245" s="11"/>
      <c r="T245" s="11"/>
      <c r="U245" s="10" t="str">
        <f>HYPERLINK("https://pbs.twimg.com/profile_images/603523065679585281/WGp7n5ld.jpg","View")</f>
        <v>View</v>
      </c>
    </row>
    <row r="246" spans="1:21" ht="40.799999999999997">
      <c r="A246" s="6">
        <v>43441.955937499995</v>
      </c>
      <c r="B246" s="7" t="str">
        <f>HYPERLINK("https://twitter.com/MuyLiberal","@MuyLiberal")</f>
        <v>@MuyLiberal</v>
      </c>
      <c r="C246" s="8" t="s">
        <v>627</v>
      </c>
      <c r="D246" s="9" t="s">
        <v>944</v>
      </c>
      <c r="E246" s="10" t="str">
        <f>HYPERLINK("https://twitter.com/MuyLiberal/status/1071161566236684293","1071161566236684293")</f>
        <v>1071161566236684293</v>
      </c>
      <c r="F246" s="16" t="s">
        <v>945</v>
      </c>
      <c r="G246" s="11"/>
      <c r="H246" s="11"/>
      <c r="I246" s="12">
        <v>117</v>
      </c>
      <c r="J246" s="12">
        <v>87</v>
      </c>
      <c r="K246" s="13" t="str">
        <f>HYPERLINK("http://twitter.com/download/iphone","Twitter for iPhone")</f>
        <v>Twitter for iPhone</v>
      </c>
      <c r="L246" s="12">
        <v>29630</v>
      </c>
      <c r="M246" s="12">
        <v>1982</v>
      </c>
      <c r="N246" s="12">
        <v>241</v>
      </c>
      <c r="O246" s="23" t="s">
        <v>89</v>
      </c>
      <c r="P246" s="6">
        <v>41184.784629629634</v>
      </c>
      <c r="Q246" s="11"/>
      <c r="R246" s="17" t="s">
        <v>630</v>
      </c>
      <c r="S246" s="16" t="s">
        <v>631</v>
      </c>
      <c r="T246" s="11"/>
      <c r="U246" s="10" t="str">
        <f>HYPERLINK("https://pbs.twimg.com/profile_images/1065892129539530753/g638P6sH.jpg","View")</f>
        <v>View</v>
      </c>
    </row>
    <row r="247" spans="1:21" ht="30.6">
      <c r="A247" s="6">
        <v>43441.955717592587</v>
      </c>
      <c r="B247" s="7" t="str">
        <f>HYPERLINK("https://twitter.com/ExpositoOrteg","@ExpositoOrteg")</f>
        <v>@ExpositoOrteg</v>
      </c>
      <c r="C247" s="8" t="s">
        <v>946</v>
      </c>
      <c r="D247" s="9" t="s">
        <v>947</v>
      </c>
      <c r="E247" s="10" t="str">
        <f>HYPERLINK("https://twitter.com/ExpositoOrteg/status/1071161486955945984","1071161486955945984")</f>
        <v>1071161486955945984</v>
      </c>
      <c r="F247" s="16" t="s">
        <v>948</v>
      </c>
      <c r="G247" s="11"/>
      <c r="H247" s="11"/>
      <c r="I247" s="12">
        <v>53</v>
      </c>
      <c r="J247" s="12">
        <v>54</v>
      </c>
      <c r="K247" s="13" t="str">
        <f>HYPERLINK("http://twitter.com/download/android","Twitter for Android")</f>
        <v>Twitter for Android</v>
      </c>
      <c r="L247" s="12">
        <v>19932</v>
      </c>
      <c r="M247" s="12">
        <v>12986</v>
      </c>
      <c r="N247" s="12">
        <v>108</v>
      </c>
      <c r="O247" s="14"/>
      <c r="P247" s="6">
        <v>41567.481932870374</v>
      </c>
      <c r="Q247" s="15" t="s">
        <v>949</v>
      </c>
      <c r="R247" s="17" t="s">
        <v>950</v>
      </c>
      <c r="S247" s="11"/>
      <c r="T247" s="11"/>
      <c r="U247" s="10" t="str">
        <f>HYPERLINK("https://pbs.twimg.com/profile_images/1069345462342377477/JHTQmxQT.jpg","View")</f>
        <v>View</v>
      </c>
    </row>
    <row r="248" spans="1:21" ht="40.799999999999997">
      <c r="A248" s="6">
        <v>43441.954548611116</v>
      </c>
      <c r="B248" s="7" t="str">
        <f>HYPERLINK("https://twitter.com/CasoAislado_Es","@CasoAislado_Es")</f>
        <v>@CasoAislado_Es</v>
      </c>
      <c r="C248" s="8" t="s">
        <v>951</v>
      </c>
      <c r="D248" s="9" t="s">
        <v>952</v>
      </c>
      <c r="E248" s="10" t="str">
        <f>HYPERLINK("https://twitter.com/CasoAislado_Es/status/1071161064635711489","1071161064635711489")</f>
        <v>1071161064635711489</v>
      </c>
      <c r="F248" s="16" t="s">
        <v>953</v>
      </c>
      <c r="G248" s="11"/>
      <c r="H248" s="11"/>
      <c r="I248" s="12">
        <v>260</v>
      </c>
      <c r="J248" s="12">
        <v>444</v>
      </c>
      <c r="K248" s="13" t="str">
        <f>HYPERLINK("http://twitter.com","Twitter Web Client")</f>
        <v>Twitter Web Client</v>
      </c>
      <c r="L248" s="12">
        <v>21476</v>
      </c>
      <c r="M248" s="12">
        <v>6353</v>
      </c>
      <c r="N248" s="12">
        <v>153</v>
      </c>
      <c r="O248" s="14"/>
      <c r="P248" s="6">
        <v>40257.560439814813</v>
      </c>
      <c r="Q248" s="15" t="s">
        <v>954</v>
      </c>
      <c r="R248" s="17" t="s">
        <v>955</v>
      </c>
      <c r="S248" s="16" t="s">
        <v>956</v>
      </c>
      <c r="T248" s="11"/>
      <c r="U248" s="10" t="str">
        <f>HYPERLINK("https://pbs.twimg.com/profile_images/818503412702707713/QK1J8CEn.jpg","View")</f>
        <v>View</v>
      </c>
    </row>
    <row r="249" spans="1:21" ht="40.799999999999997">
      <c r="A249" s="6">
        <v>43441.954259259262</v>
      </c>
      <c r="B249" s="7" t="str">
        <f>HYPERLINK("https://twitter.com/JustoDesdeTFE","@JustoDesdeTFE")</f>
        <v>@JustoDesdeTFE</v>
      </c>
      <c r="C249" s="8" t="s">
        <v>957</v>
      </c>
      <c r="D249" s="9" t="s">
        <v>958</v>
      </c>
      <c r="E249" s="10" t="str">
        <f>HYPERLINK("https://twitter.com/JustoDesdeTFE/status/1071160957886455813","1071160957886455813")</f>
        <v>1071160957886455813</v>
      </c>
      <c r="F249" s="11"/>
      <c r="G249" s="16" t="s">
        <v>959</v>
      </c>
      <c r="H249" s="11"/>
      <c r="I249" s="12">
        <v>0</v>
      </c>
      <c r="J249" s="12">
        <v>0</v>
      </c>
      <c r="K249" s="13" t="str">
        <f>HYPERLINK("http://twitter.com/download/iphone","Twitter for iPhone")</f>
        <v>Twitter for iPhone</v>
      </c>
      <c r="L249" s="12">
        <v>1461</v>
      </c>
      <c r="M249" s="12">
        <v>1390</v>
      </c>
      <c r="N249" s="12">
        <v>32</v>
      </c>
      <c r="O249" s="14"/>
      <c r="P249" s="6">
        <v>40106.436990740738</v>
      </c>
      <c r="Q249" s="15" t="s">
        <v>960</v>
      </c>
      <c r="R249" s="17" t="s">
        <v>961</v>
      </c>
      <c r="S249" s="16" t="s">
        <v>962</v>
      </c>
      <c r="T249" s="11"/>
      <c r="U249" s="10" t="str">
        <f>HYPERLINK("https://pbs.twimg.com/profile_images/1071170613044281345/hL9BQXTp.jpg","View")</f>
        <v>View</v>
      </c>
    </row>
    <row r="250" spans="1:21" ht="81.599999999999994">
      <c r="A250" s="6">
        <v>43441.952418981484</v>
      </c>
      <c r="B250" s="7" t="str">
        <f>HYPERLINK("https://twitter.com/Mar153313","@Mar153313")</f>
        <v>@Mar153313</v>
      </c>
      <c r="C250" s="8" t="s">
        <v>963</v>
      </c>
      <c r="D250" s="9" t="s">
        <v>964</v>
      </c>
      <c r="E250" s="10" t="str">
        <f>HYPERLINK("https://twitter.com/Mar153313/status/1071160291659014155","1071160291659014155")</f>
        <v>1071160291659014155</v>
      </c>
      <c r="F250" s="16" t="s">
        <v>860</v>
      </c>
      <c r="G250" s="11"/>
      <c r="H250" s="11"/>
      <c r="I250" s="12">
        <v>0</v>
      </c>
      <c r="J250" s="12">
        <v>1</v>
      </c>
      <c r="K250" s="13" t="str">
        <f>HYPERLINK("https://mobile.twitter.com","Twitter Lite")</f>
        <v>Twitter Lite</v>
      </c>
      <c r="L250" s="12">
        <v>1814</v>
      </c>
      <c r="M250" s="12">
        <v>4999</v>
      </c>
      <c r="N250" s="12">
        <v>4</v>
      </c>
      <c r="O250" s="14"/>
      <c r="P250" s="6">
        <v>43186.910740740743</v>
      </c>
      <c r="Q250" s="15" t="s">
        <v>965</v>
      </c>
      <c r="R250" s="17" t="s">
        <v>966</v>
      </c>
      <c r="S250" s="11"/>
      <c r="T250" s="11"/>
      <c r="U250" s="10" t="str">
        <f>HYPERLINK("https://pbs.twimg.com/profile_images/990732446768476160/rIA7RLSq.jpg","View")</f>
        <v>View</v>
      </c>
    </row>
    <row r="251" spans="1:21" ht="51">
      <c r="A251" s="6">
        <v>43441.951666666668</v>
      </c>
      <c r="B251" s="7" t="str">
        <f>HYPERLINK("https://twitter.com/Jolu1970Jose","@Jolu1970Jose")</f>
        <v>@Jolu1970Jose</v>
      </c>
      <c r="C251" s="8" t="s">
        <v>967</v>
      </c>
      <c r="D251" s="9" t="s">
        <v>968</v>
      </c>
      <c r="E251" s="10" t="str">
        <f>HYPERLINK("https://twitter.com/Jolu1970Jose/status/1071160018165264384","1071160018165264384")</f>
        <v>1071160018165264384</v>
      </c>
      <c r="F251" s="16" t="s">
        <v>969</v>
      </c>
      <c r="G251" s="11"/>
      <c r="H251" s="11"/>
      <c r="I251" s="12">
        <v>10</v>
      </c>
      <c r="J251" s="12">
        <v>17</v>
      </c>
      <c r="K251" s="13" t="str">
        <f>HYPERLINK("http://twitter.com/download/android","Twitter for Android")</f>
        <v>Twitter for Android</v>
      </c>
      <c r="L251" s="12">
        <v>2418</v>
      </c>
      <c r="M251" s="12">
        <v>2578</v>
      </c>
      <c r="N251" s="12">
        <v>22</v>
      </c>
      <c r="O251" s="14"/>
      <c r="P251" s="6">
        <v>40681.964178240742</v>
      </c>
      <c r="Q251" s="11"/>
      <c r="R251" s="17" t="s">
        <v>970</v>
      </c>
      <c r="S251" s="11"/>
      <c r="T251" s="11"/>
      <c r="U251" s="10" t="str">
        <f>HYPERLINK("https://pbs.twimg.com/profile_images/997194518444175360/dnaJJ08L.jpg","View")</f>
        <v>View</v>
      </c>
    </row>
    <row r="252" spans="1:21" ht="51">
      <c r="A252" s="6">
        <v>43441.951585648145</v>
      </c>
      <c r="B252" s="7" t="str">
        <f>HYPERLINK("https://twitter.com/nyapell","@nyapell")</f>
        <v>@nyapell</v>
      </c>
      <c r="C252" s="8" t="s">
        <v>971</v>
      </c>
      <c r="D252" s="9" t="s">
        <v>972</v>
      </c>
      <c r="E252" s="10" t="str">
        <f>HYPERLINK("https://twitter.com/nyapell/status/1071159990440919040","1071159990440919040")</f>
        <v>1071159990440919040</v>
      </c>
      <c r="F252" s="11"/>
      <c r="G252" s="11"/>
      <c r="H252" s="11"/>
      <c r="I252" s="12">
        <v>0</v>
      </c>
      <c r="J252" s="12">
        <v>1</v>
      </c>
      <c r="K252" s="13" t="str">
        <f>HYPERLINK("http://twitter.com","Twitter Web Client")</f>
        <v>Twitter Web Client</v>
      </c>
      <c r="L252" s="12">
        <v>310</v>
      </c>
      <c r="M252" s="12">
        <v>213</v>
      </c>
      <c r="N252" s="12">
        <v>5</v>
      </c>
      <c r="O252" s="14"/>
      <c r="P252" s="6">
        <v>41837.690057870372</v>
      </c>
      <c r="Q252" s="11"/>
      <c r="R252" s="17" t="s">
        <v>973</v>
      </c>
      <c r="S252" s="16" t="s">
        <v>974</v>
      </c>
      <c r="T252" s="11"/>
      <c r="U252" s="10" t="str">
        <f>HYPERLINK("https://pbs.twimg.com/profile_images/888768720407015425/aQv5OSfL.jpg","View")</f>
        <v>View</v>
      </c>
    </row>
    <row r="253" spans="1:21" ht="30.6">
      <c r="A253" s="6">
        <v>43441.947118055556</v>
      </c>
      <c r="B253" s="7" t="str">
        <f>HYPERLINK("https://twitter.com/PacoBenicalap","@PacoBenicalap")</f>
        <v>@PacoBenicalap</v>
      </c>
      <c r="C253" s="8" t="s">
        <v>975</v>
      </c>
      <c r="D253" s="9" t="s">
        <v>976</v>
      </c>
      <c r="E253" s="10" t="str">
        <f>HYPERLINK("https://twitter.com/PacoBenicalap/status/1071158371821203457","1071158371821203457")</f>
        <v>1071158371821203457</v>
      </c>
      <c r="F253" s="16" t="s">
        <v>977</v>
      </c>
      <c r="G253" s="11"/>
      <c r="H253" s="11"/>
      <c r="I253" s="12">
        <v>0</v>
      </c>
      <c r="J253" s="12">
        <v>0</v>
      </c>
      <c r="K253" s="13" t="str">
        <f>HYPERLINK("http://www.facebook.com/twitter","Facebook")</f>
        <v>Facebook</v>
      </c>
      <c r="L253" s="12">
        <v>118</v>
      </c>
      <c r="M253" s="12">
        <v>244</v>
      </c>
      <c r="N253" s="12">
        <v>0</v>
      </c>
      <c r="O253" s="14"/>
      <c r="P253" s="6">
        <v>42741.0705787037</v>
      </c>
      <c r="Q253" s="15" t="s">
        <v>676</v>
      </c>
      <c r="R253" s="17" t="s">
        <v>978</v>
      </c>
      <c r="S253" s="11"/>
      <c r="T253" s="11"/>
      <c r="U253" s="10" t="str">
        <f>HYPERLINK("https://pbs.twimg.com/profile_images/817171684063121410/WyttfiZv.jpg","View")</f>
        <v>View</v>
      </c>
    </row>
    <row r="254" spans="1:21" ht="61.2">
      <c r="A254" s="6">
        <v>43441.941250000003</v>
      </c>
      <c r="B254" s="7" t="str">
        <f>HYPERLINK("https://twitter.com/rumbopropio","@rumbopropio")</f>
        <v>@rumbopropio</v>
      </c>
      <c r="C254" s="8" t="s">
        <v>979</v>
      </c>
      <c r="D254" s="9" t="s">
        <v>980</v>
      </c>
      <c r="E254" s="10" t="str">
        <f>HYPERLINK("https://twitter.com/rumbopropio/status/1071156245254561795","1071156245254561795")</f>
        <v>1071156245254561795</v>
      </c>
      <c r="F254" s="15" t="s">
        <v>981</v>
      </c>
      <c r="G254" s="11"/>
      <c r="H254" s="11"/>
      <c r="I254" s="12">
        <v>5</v>
      </c>
      <c r="J254" s="12">
        <v>3</v>
      </c>
      <c r="K254" s="13" t="str">
        <f t="shared" ref="K254:K255" si="82">HYPERLINK("http://twitter.com","Twitter Web Client")</f>
        <v>Twitter Web Client</v>
      </c>
      <c r="L254" s="12">
        <v>3583</v>
      </c>
      <c r="M254" s="12">
        <v>4041</v>
      </c>
      <c r="N254" s="12">
        <v>12</v>
      </c>
      <c r="O254" s="14"/>
      <c r="P254" s="6">
        <v>43013.637986111113</v>
      </c>
      <c r="Q254" s="11"/>
      <c r="R254" s="17" t="s">
        <v>982</v>
      </c>
      <c r="S254" s="16" t="s">
        <v>983</v>
      </c>
      <c r="T254" s="11"/>
      <c r="U254" s="10" t="str">
        <f>HYPERLINK("https://pbs.twimg.com/profile_images/1033058023047094273/qLVg_bIn.jpg","View")</f>
        <v>View</v>
      </c>
    </row>
    <row r="255" spans="1:21" ht="40.799999999999997">
      <c r="A255" s="6">
        <v>43441.93959490741</v>
      </c>
      <c r="B255" s="7" t="str">
        <f>HYPERLINK("https://twitter.com/EnriqueRomeroMu","@EnriqueRomeroMu")</f>
        <v>@EnriqueRomeroMu</v>
      </c>
      <c r="C255" s="8" t="s">
        <v>984</v>
      </c>
      <c r="D255" s="9" t="s">
        <v>985</v>
      </c>
      <c r="E255" s="10" t="str">
        <f>HYPERLINK("https://twitter.com/EnriqueRomeroMu/status/1071155646492491777","1071155646492491777")</f>
        <v>1071155646492491777</v>
      </c>
      <c r="F255" s="16" t="s">
        <v>516</v>
      </c>
      <c r="G255" s="16" t="s">
        <v>517</v>
      </c>
      <c r="H255" s="11"/>
      <c r="I255" s="12">
        <v>0</v>
      </c>
      <c r="J255" s="12">
        <v>0</v>
      </c>
      <c r="K255" s="13" t="str">
        <f t="shared" si="82"/>
        <v>Twitter Web Client</v>
      </c>
      <c r="L255" s="12">
        <v>259</v>
      </c>
      <c r="M255" s="12">
        <v>457</v>
      </c>
      <c r="N255" s="12">
        <v>2</v>
      </c>
      <c r="O255" s="14"/>
      <c r="P255" s="6">
        <v>40897.947893518518</v>
      </c>
      <c r="Q255" s="15" t="s">
        <v>986</v>
      </c>
      <c r="R255" s="17" t="s">
        <v>987</v>
      </c>
      <c r="S255" s="11"/>
      <c r="T255" s="11"/>
      <c r="U255" s="10" t="str">
        <f>HYPERLINK("https://pbs.twimg.com/profile_images/1069678974672998400/3Ite-G69.jpg","View")</f>
        <v>View</v>
      </c>
    </row>
    <row r="256" spans="1:21" ht="30.6">
      <c r="A256" s="6">
        <v>43441.938240740739</v>
      </c>
      <c r="B256" s="7" t="str">
        <f>HYPERLINK("https://twitter.com/TransUPM","@TransUPM")</f>
        <v>@TransUPM</v>
      </c>
      <c r="C256" s="8" t="s">
        <v>293</v>
      </c>
      <c r="D256" s="9" t="s">
        <v>988</v>
      </c>
      <c r="E256" s="10" t="str">
        <f>HYPERLINK("https://twitter.com/TransUPM/status/1071155155389820929","1071155155389820929")</f>
        <v>1071155155389820929</v>
      </c>
      <c r="F256" s="11"/>
      <c r="G256" s="11"/>
      <c r="H256" s="11"/>
      <c r="I256" s="12">
        <v>0</v>
      </c>
      <c r="J256" s="12">
        <v>0</v>
      </c>
      <c r="K256" s="13" t="str">
        <f>HYPERLINK("http://twitter.com/#!/download/ipad","Twitter for iPad")</f>
        <v>Twitter for iPad</v>
      </c>
      <c r="L256" s="12">
        <v>742</v>
      </c>
      <c r="M256" s="12">
        <v>748</v>
      </c>
      <c r="N256" s="12">
        <v>25</v>
      </c>
      <c r="O256" s="14"/>
      <c r="P256" s="6">
        <v>40990.723449074074</v>
      </c>
      <c r="Q256" s="15" t="s">
        <v>296</v>
      </c>
      <c r="R256" s="17" t="s">
        <v>297</v>
      </c>
      <c r="S256" s="11"/>
      <c r="T256" s="11"/>
      <c r="U256" s="10" t="str">
        <f>HYPERLINK("https://pbs.twimg.com/profile_images/991114054189109250/998-LfOp.jpg","View")</f>
        <v>View</v>
      </c>
    </row>
    <row r="257" spans="1:21" ht="30.6">
      <c r="A257" s="6">
        <v>43441.93813657407</v>
      </c>
      <c r="B257" s="7" t="str">
        <f>HYPERLINK("https://twitter.com/republicaespan1","@republicaespan1")</f>
        <v>@republicaespan1</v>
      </c>
      <c r="C257" s="8" t="s">
        <v>989</v>
      </c>
      <c r="D257" s="9" t="s">
        <v>990</v>
      </c>
      <c r="E257" s="10" t="str">
        <f>HYPERLINK("https://twitter.com/republicaespan1/status/1071155117125238784","1071155117125238784")</f>
        <v>1071155117125238784</v>
      </c>
      <c r="F257" s="11"/>
      <c r="G257" s="11"/>
      <c r="H257" s="11"/>
      <c r="I257" s="12">
        <v>1</v>
      </c>
      <c r="J257" s="12">
        <v>2</v>
      </c>
      <c r="K257" s="13" t="str">
        <f t="shared" ref="K257:K258" si="83">HYPERLINK("http://twitter.com/download/android","Twitter for Android")</f>
        <v>Twitter for Android</v>
      </c>
      <c r="L257" s="12">
        <v>16</v>
      </c>
      <c r="M257" s="12">
        <v>91</v>
      </c>
      <c r="N257" s="12">
        <v>0</v>
      </c>
      <c r="O257" s="14"/>
      <c r="P257" s="6">
        <v>43407.948113425926</v>
      </c>
      <c r="Q257" s="15" t="s">
        <v>991</v>
      </c>
      <c r="R257" s="17" t="s">
        <v>992</v>
      </c>
      <c r="S257" s="11"/>
      <c r="T257" s="11"/>
      <c r="U257" s="10" t="str">
        <f>HYPERLINK("https://pbs.twimg.com/profile_images/1071157887345528832/WVIbiCDt.jpg","View")</f>
        <v>View</v>
      </c>
    </row>
    <row r="258" spans="1:21" ht="61.2">
      <c r="A258" s="6">
        <v>43441.928310185191</v>
      </c>
      <c r="B258" s="7" t="str">
        <f>HYPERLINK("https://twitter.com/Santi_ABASCAL","@Santi_ABASCAL")</f>
        <v>@Santi_ABASCAL</v>
      </c>
      <c r="C258" s="8" t="s">
        <v>422</v>
      </c>
      <c r="D258" s="9" t="s">
        <v>993</v>
      </c>
      <c r="E258" s="10" t="str">
        <f>HYPERLINK("https://twitter.com/Santi_ABASCAL/status/1071151555364167682","1071151555364167682")</f>
        <v>1071151555364167682</v>
      </c>
      <c r="F258" s="11"/>
      <c r="G258" s="11"/>
      <c r="H258" s="11"/>
      <c r="I258" s="12">
        <v>2323</v>
      </c>
      <c r="J258" s="12">
        <v>5626</v>
      </c>
      <c r="K258" s="13" t="str">
        <f t="shared" si="83"/>
        <v>Twitter for Android</v>
      </c>
      <c r="L258" s="12">
        <v>136305</v>
      </c>
      <c r="M258" s="12">
        <v>3909</v>
      </c>
      <c r="N258" s="12">
        <v>965</v>
      </c>
      <c r="O258" s="23" t="s">
        <v>89</v>
      </c>
      <c r="P258" s="6">
        <v>40606.716446759259</v>
      </c>
      <c r="Q258" s="15" t="s">
        <v>426</v>
      </c>
      <c r="R258" s="17" t="s">
        <v>427</v>
      </c>
      <c r="S258" s="16" t="s">
        <v>428</v>
      </c>
      <c r="T258" s="11"/>
      <c r="U258" s="10" t="str">
        <f>HYPERLINK("https://pbs.twimg.com/profile_images/1010488787686879232/2CnqYKlD.jpg","View")</f>
        <v>View</v>
      </c>
    </row>
    <row r="259" spans="1:21" ht="30.6">
      <c r="A259" s="6">
        <v>43441.924699074079</v>
      </c>
      <c r="B259" s="7" t="str">
        <f>HYPERLINK("https://twitter.com/mejoreszasca","@mejoreszasca")</f>
        <v>@mejoreszasca</v>
      </c>
      <c r="C259" s="8" t="s">
        <v>994</v>
      </c>
      <c r="D259" s="9" t="s">
        <v>995</v>
      </c>
      <c r="E259" s="10" t="str">
        <f>HYPERLINK("https://twitter.com/mejoreszasca/status/1071150248842747905","1071150248842747905")</f>
        <v>1071150248842747905</v>
      </c>
      <c r="F259" s="11"/>
      <c r="G259" s="16" t="s">
        <v>996</v>
      </c>
      <c r="H259" s="11"/>
      <c r="I259" s="12">
        <v>76</v>
      </c>
      <c r="J259" s="12">
        <v>237</v>
      </c>
      <c r="K259" s="13" t="str">
        <f>HYPERLINK("http://twitter.com/download/iphone","Twitter for iPhone")</f>
        <v>Twitter for iPhone</v>
      </c>
      <c r="L259" s="12">
        <v>96783</v>
      </c>
      <c r="M259" s="12">
        <v>295</v>
      </c>
      <c r="N259" s="12">
        <v>462</v>
      </c>
      <c r="O259" s="14"/>
      <c r="P259" s="6">
        <v>42064.451701388884</v>
      </c>
      <c r="Q259" s="15" t="s">
        <v>997</v>
      </c>
      <c r="R259" s="17" t="s">
        <v>998</v>
      </c>
      <c r="S259" s="11"/>
      <c r="T259" s="11"/>
      <c r="U259" s="10" t="str">
        <f>HYPERLINK("https://pbs.twimg.com/profile_images/1051075553011425282/KXPCBjix.jpg","View")</f>
        <v>View</v>
      </c>
    </row>
    <row r="260" spans="1:21" ht="30.6">
      <c r="A260" s="6">
        <v>43441.92386574074</v>
      </c>
      <c r="B260" s="7" t="str">
        <f>HYPERLINK("https://twitter.com/elylluna","@elylluna")</f>
        <v>@elylluna</v>
      </c>
      <c r="C260" s="8" t="s">
        <v>999</v>
      </c>
      <c r="D260" s="9" t="s">
        <v>1000</v>
      </c>
      <c r="E260" s="10" t="str">
        <f>HYPERLINK("https://twitter.com/elylluna/status/1071149945200222208","1071149945200222208")</f>
        <v>1071149945200222208</v>
      </c>
      <c r="F260" s="15" t="s">
        <v>1001</v>
      </c>
      <c r="G260" s="16" t="s">
        <v>1002</v>
      </c>
      <c r="H260" s="11"/>
      <c r="I260" s="12">
        <v>0</v>
      </c>
      <c r="J260" s="12">
        <v>0</v>
      </c>
      <c r="K260" s="13" t="str">
        <f>HYPERLINK("http://twitter.com/download/android","Twitter for Android")</f>
        <v>Twitter for Android</v>
      </c>
      <c r="L260" s="12">
        <v>41</v>
      </c>
      <c r="M260" s="12">
        <v>440</v>
      </c>
      <c r="N260" s="12">
        <v>0</v>
      </c>
      <c r="O260" s="14"/>
      <c r="P260" s="6">
        <v>40614.096701388888</v>
      </c>
      <c r="Q260" s="15" t="s">
        <v>724</v>
      </c>
      <c r="R260" s="18"/>
      <c r="S260" s="11"/>
      <c r="T260" s="11"/>
      <c r="U260" s="10" t="str">
        <f>HYPERLINK("https://pbs.twimg.com/profile_images/882281202509656064/C_vlX6lG.jpg","View")</f>
        <v>View</v>
      </c>
    </row>
    <row r="261" spans="1:21" ht="30.6">
      <c r="A261" s="6">
        <v>43441.916967592595</v>
      </c>
      <c r="B261" s="7" t="str">
        <f>HYPERLINK("https://twitter.com/SergiVikingo","@SergiVikingo")</f>
        <v>@SergiVikingo</v>
      </c>
      <c r="C261" s="8" t="s">
        <v>1003</v>
      </c>
      <c r="D261" s="9" t="s">
        <v>1004</v>
      </c>
      <c r="E261" s="10" t="str">
        <f>HYPERLINK("https://twitter.com/SergiVikingo/status/1071147443851616256","1071147443851616256")</f>
        <v>1071147443851616256</v>
      </c>
      <c r="F261" s="11"/>
      <c r="G261" s="16" t="s">
        <v>1005</v>
      </c>
      <c r="H261" s="11"/>
      <c r="I261" s="12">
        <v>0</v>
      </c>
      <c r="J261" s="12">
        <v>0</v>
      </c>
      <c r="K261" s="13" t="str">
        <f>HYPERLINK("http://twitter.com/download/iphone","Twitter for iPhone")</f>
        <v>Twitter for iPhone</v>
      </c>
      <c r="L261" s="12">
        <v>3771</v>
      </c>
      <c r="M261" s="12">
        <v>958</v>
      </c>
      <c r="N261" s="12">
        <v>22</v>
      </c>
      <c r="O261" s="14"/>
      <c r="P261" s="6">
        <v>41282.883553240739</v>
      </c>
      <c r="Q261" s="11"/>
      <c r="R261" s="18"/>
      <c r="S261" s="11"/>
      <c r="T261" s="11"/>
      <c r="U261" s="10" t="str">
        <f>HYPERLINK("https://pbs.twimg.com/profile_images/956259846638198787/5OvGUx8E.jpg","View")</f>
        <v>View</v>
      </c>
    </row>
    <row r="262" spans="1:21" ht="61.2">
      <c r="A262" s="6">
        <v>43441.914363425924</v>
      </c>
      <c r="B262" s="7" t="str">
        <f>HYPERLINK("https://twitter.com/Ketelusan","@Ketelusan")</f>
        <v>@Ketelusan</v>
      </c>
      <c r="C262" s="8" t="s">
        <v>689</v>
      </c>
      <c r="D262" s="9" t="s">
        <v>1006</v>
      </c>
      <c r="E262" s="10" t="str">
        <f>HYPERLINK("https://twitter.com/Ketelusan/status/1071146499839614977","1071146499839614977")</f>
        <v>1071146499839614977</v>
      </c>
      <c r="F262" s="16" t="s">
        <v>1007</v>
      </c>
      <c r="G262" s="11"/>
      <c r="H262" s="11"/>
      <c r="I262" s="12">
        <v>0</v>
      </c>
      <c r="J262" s="12">
        <v>1</v>
      </c>
      <c r="K262" s="13" t="str">
        <f t="shared" ref="K262:K263" si="84">HYPERLINK("http://twitter.com/download/android","Twitter for Android")</f>
        <v>Twitter for Android</v>
      </c>
      <c r="L262" s="12">
        <v>602</v>
      </c>
      <c r="M262" s="12">
        <v>401</v>
      </c>
      <c r="N262" s="12">
        <v>19</v>
      </c>
      <c r="O262" s="14"/>
      <c r="P262" s="6">
        <v>40621.931527777779</v>
      </c>
      <c r="Q262" s="15" t="s">
        <v>691</v>
      </c>
      <c r="R262" s="17" t="s">
        <v>692</v>
      </c>
      <c r="S262" s="16" t="s">
        <v>693</v>
      </c>
      <c r="T262" s="11"/>
      <c r="U262" s="10" t="str">
        <f>HYPERLINK("https://pbs.twimg.com/profile_images/511857501210292224/Fxm0fjPM.jpeg","View")</f>
        <v>View</v>
      </c>
    </row>
    <row r="263" spans="1:21" ht="20.399999999999999">
      <c r="A263" s="6">
        <v>43441.914282407408</v>
      </c>
      <c r="B263" s="7" t="str">
        <f>HYPERLINK("https://twitter.com/satancucufato","@satancucufato")</f>
        <v>@satancucufato</v>
      </c>
      <c r="C263" s="8" t="s">
        <v>1008</v>
      </c>
      <c r="D263" s="9" t="s">
        <v>1009</v>
      </c>
      <c r="E263" s="10" t="str">
        <f>HYPERLINK("https://twitter.com/satancucufato/status/1071146471465107456","1071146471465107456")</f>
        <v>1071146471465107456</v>
      </c>
      <c r="F263" s="11"/>
      <c r="G263" s="11"/>
      <c r="H263" s="11"/>
      <c r="I263" s="12">
        <v>1</v>
      </c>
      <c r="J263" s="12">
        <v>4</v>
      </c>
      <c r="K263" s="13" t="str">
        <f t="shared" si="84"/>
        <v>Twitter for Android</v>
      </c>
      <c r="L263" s="12">
        <v>1311</v>
      </c>
      <c r="M263" s="12">
        <v>2341</v>
      </c>
      <c r="N263" s="12">
        <v>22</v>
      </c>
      <c r="O263" s="14"/>
      <c r="P263" s="6">
        <v>40492.008518518516</v>
      </c>
      <c r="Q263" s="15" t="s">
        <v>1010</v>
      </c>
      <c r="R263" s="17" t="s">
        <v>1011</v>
      </c>
      <c r="S263" s="11"/>
      <c r="T263" s="11"/>
      <c r="U263" s="10" t="str">
        <f>HYPERLINK("https://pbs.twimg.com/profile_images/1851661676/extran_CC_83ado.jpg","View")</f>
        <v>View</v>
      </c>
    </row>
    <row r="264" spans="1:21" ht="20.399999999999999">
      <c r="A264" s="6">
        <v>43441.909513888888</v>
      </c>
      <c r="B264" s="7" t="str">
        <f>HYPERLINK("https://twitter.com/_Aitana_R","@_Aitana_R")</f>
        <v>@_Aitana_R</v>
      </c>
      <c r="C264" s="8" t="s">
        <v>1012</v>
      </c>
      <c r="D264" s="9" t="s">
        <v>1013</v>
      </c>
      <c r="E264" s="10" t="str">
        <f>HYPERLINK("https://twitter.com/_Aitana_R/status/1071144745215369226","1071144745215369226")</f>
        <v>1071144745215369226</v>
      </c>
      <c r="F264" s="11"/>
      <c r="G264" s="11"/>
      <c r="H264" s="11"/>
      <c r="I264" s="12">
        <v>1</v>
      </c>
      <c r="J264" s="12">
        <v>4</v>
      </c>
      <c r="K264" s="13" t="str">
        <f>HYPERLINK("http://twitter.com/#!/download/ipad","Twitter for iPad")</f>
        <v>Twitter for iPad</v>
      </c>
      <c r="L264" s="12">
        <v>1145</v>
      </c>
      <c r="M264" s="12">
        <v>981</v>
      </c>
      <c r="N264" s="12">
        <v>11</v>
      </c>
      <c r="O264" s="14"/>
      <c r="P264" s="6">
        <v>42555.610312500001</v>
      </c>
      <c r="Q264" s="11"/>
      <c r="R264" s="18"/>
      <c r="S264" s="11"/>
      <c r="T264" s="11"/>
      <c r="U264" s="10" t="str">
        <f>HYPERLINK("https://pbs.twimg.com/profile_images/972413193241972736/RxmG9tac.jpg","View")</f>
        <v>View</v>
      </c>
    </row>
    <row r="265" spans="1:21" ht="30.6">
      <c r="A265" s="6">
        <v>43441.90724537037</v>
      </c>
      <c r="B265" s="7" t="str">
        <f>HYPERLINK("https://twitter.com/Angeles33333332","@Angeles33333332")</f>
        <v>@Angeles33333332</v>
      </c>
      <c r="C265" s="8" t="s">
        <v>1014</v>
      </c>
      <c r="D265" s="9" t="s">
        <v>1015</v>
      </c>
      <c r="E265" s="10" t="str">
        <f>HYPERLINK("https://twitter.com/Angeles33333332/status/1071143921525370881","1071143921525370881")</f>
        <v>1071143921525370881</v>
      </c>
      <c r="F265" s="11"/>
      <c r="G265" s="16" t="s">
        <v>1016</v>
      </c>
      <c r="H265" s="11"/>
      <c r="I265" s="12">
        <v>9</v>
      </c>
      <c r="J265" s="12">
        <v>10</v>
      </c>
      <c r="K265" s="13" t="str">
        <f t="shared" ref="K265:K268" si="85">HYPERLINK("http://twitter.com/download/android","Twitter for Android")</f>
        <v>Twitter for Android</v>
      </c>
      <c r="L265" s="12">
        <v>1044</v>
      </c>
      <c r="M265" s="12">
        <v>921</v>
      </c>
      <c r="N265" s="12">
        <v>0</v>
      </c>
      <c r="O265" s="14"/>
      <c r="P265" s="6">
        <v>43175.503680555557</v>
      </c>
      <c r="Q265" s="15" t="s">
        <v>1017</v>
      </c>
      <c r="R265" s="17" t="s">
        <v>1018</v>
      </c>
      <c r="S265" s="11"/>
      <c r="T265" s="11"/>
      <c r="U265" s="10" t="str">
        <f>HYPERLINK("https://pbs.twimg.com/profile_images/1064245988175552514/2h56-dvV.jpg","View")</f>
        <v>View</v>
      </c>
    </row>
    <row r="266" spans="1:21" ht="51">
      <c r="A266" s="6">
        <v>43441.90351851852</v>
      </c>
      <c r="B266" s="7" t="str">
        <f>HYPERLINK("https://twitter.com/ozilenfurecido","@ozilenfurecido")</f>
        <v>@ozilenfurecido</v>
      </c>
      <c r="C266" s="8" t="s">
        <v>1019</v>
      </c>
      <c r="D266" s="9" t="s">
        <v>1020</v>
      </c>
      <c r="E266" s="10" t="str">
        <f>HYPERLINK("https://twitter.com/ozilenfurecido/status/1071142572607881216","1071142572607881216")</f>
        <v>1071142572607881216</v>
      </c>
      <c r="F266" s="16" t="s">
        <v>1021</v>
      </c>
      <c r="G266" s="16" t="s">
        <v>1022</v>
      </c>
      <c r="H266" s="11"/>
      <c r="I266" s="12">
        <v>0</v>
      </c>
      <c r="J266" s="12">
        <v>0</v>
      </c>
      <c r="K266" s="13" t="str">
        <f t="shared" si="85"/>
        <v>Twitter for Android</v>
      </c>
      <c r="L266" s="12">
        <v>1409</v>
      </c>
      <c r="M266" s="12">
        <v>496</v>
      </c>
      <c r="N266" s="12">
        <v>16</v>
      </c>
      <c r="O266" s="14"/>
      <c r="P266" s="6">
        <v>41713.887812499997</v>
      </c>
      <c r="Q266" s="15" t="s">
        <v>1023</v>
      </c>
      <c r="R266" s="17" t="s">
        <v>1024</v>
      </c>
      <c r="S266" s="11"/>
      <c r="T266" s="11"/>
      <c r="U266" s="10" t="str">
        <f>HYPERLINK("https://pbs.twimg.com/profile_images/1070092048022364161/9w-mZdmq.jpg","View")</f>
        <v>View</v>
      </c>
    </row>
    <row r="267" spans="1:21" ht="51">
      <c r="A267" s="6">
        <v>43441.901770833334</v>
      </c>
      <c r="B267" s="7" t="str">
        <f>HYPERLINK("https://twitter.com/aviatllibertat","@aviatllibertat")</f>
        <v>@aviatllibertat</v>
      </c>
      <c r="C267" s="8" t="s">
        <v>1025</v>
      </c>
      <c r="D267" s="9" t="s">
        <v>1026</v>
      </c>
      <c r="E267" s="10" t="str">
        <f>HYPERLINK("https://twitter.com/aviatllibertat/status/1071141938332622848","1071141938332622848")</f>
        <v>1071141938332622848</v>
      </c>
      <c r="F267" s="11"/>
      <c r="G267" s="11"/>
      <c r="H267" s="11"/>
      <c r="I267" s="12">
        <v>0</v>
      </c>
      <c r="J267" s="12">
        <v>0</v>
      </c>
      <c r="K267" s="13" t="str">
        <f t="shared" si="85"/>
        <v>Twitter for Android</v>
      </c>
      <c r="L267" s="12">
        <v>1937</v>
      </c>
      <c r="M267" s="12">
        <v>2617</v>
      </c>
      <c r="N267" s="12">
        <v>33</v>
      </c>
      <c r="O267" s="14"/>
      <c r="P267" s="6">
        <v>41027.105555555558</v>
      </c>
      <c r="Q267" s="15" t="s">
        <v>1027</v>
      </c>
      <c r="R267" s="17" t="s">
        <v>1028</v>
      </c>
      <c r="S267" s="11"/>
      <c r="T267" s="11"/>
      <c r="U267" s="10" t="str">
        <f>HYPERLINK("https://pbs.twimg.com/profile_images/1071305320809549824/kVPqd5qG.jpg","View")</f>
        <v>View</v>
      </c>
    </row>
    <row r="268" spans="1:21" ht="71.400000000000006">
      <c r="A268" s="6">
        <v>43441.900185185186</v>
      </c>
      <c r="B268" s="7" t="str">
        <f>HYPERLINK("https://twitter.com/JaviVillaverde","@JaviVillaverde")</f>
        <v>@JaviVillaverde</v>
      </c>
      <c r="C268" s="8" t="s">
        <v>1029</v>
      </c>
      <c r="D268" s="9" t="s">
        <v>1030</v>
      </c>
      <c r="E268" s="10" t="str">
        <f>HYPERLINK("https://twitter.com/JaviVillaverde/status/1071141362626637831","1071141362626637831")</f>
        <v>1071141362626637831</v>
      </c>
      <c r="F268" s="15" t="s">
        <v>1031</v>
      </c>
      <c r="G268" s="11"/>
      <c r="H268" s="11"/>
      <c r="I268" s="12">
        <v>0</v>
      </c>
      <c r="J268" s="12">
        <v>0</v>
      </c>
      <c r="K268" s="13" t="str">
        <f t="shared" si="85"/>
        <v>Twitter for Android</v>
      </c>
      <c r="L268" s="12">
        <v>228</v>
      </c>
      <c r="M268" s="12">
        <v>14</v>
      </c>
      <c r="N268" s="12">
        <v>5</v>
      </c>
      <c r="O268" s="14"/>
      <c r="P268" s="6">
        <v>41329.626261574071</v>
      </c>
      <c r="Q268" s="15" t="s">
        <v>1032</v>
      </c>
      <c r="R268" s="17" t="s">
        <v>1033</v>
      </c>
      <c r="S268" s="11"/>
      <c r="T268" s="11"/>
      <c r="U268" s="10" t="str">
        <f>HYPERLINK("https://pbs.twimg.com/profile_images/1041740039896608769/kF8-QoVe.jpg","View")</f>
        <v>View</v>
      </c>
    </row>
    <row r="269" spans="1:21" ht="30.6">
      <c r="A269" s="6">
        <v>43441.898344907408</v>
      </c>
      <c r="B269" s="7" t="str">
        <f>HYPERLINK("https://twitter.com/chusycarol","@chusycarol")</f>
        <v>@chusycarol</v>
      </c>
      <c r="C269" s="8" t="s">
        <v>1034</v>
      </c>
      <c r="D269" s="9" t="s">
        <v>1035</v>
      </c>
      <c r="E269" s="10" t="str">
        <f>HYPERLINK("https://twitter.com/chusycarol/status/1071140697724596224","1071140697724596224")</f>
        <v>1071140697724596224</v>
      </c>
      <c r="F269" s="11"/>
      <c r="G269" s="16" t="s">
        <v>1036</v>
      </c>
      <c r="H269" s="11"/>
      <c r="I269" s="12">
        <v>0</v>
      </c>
      <c r="J269" s="12">
        <v>0</v>
      </c>
      <c r="K269" s="13" t="str">
        <f>HYPERLINK("http://twitter.com","Twitter Web Client")</f>
        <v>Twitter Web Client</v>
      </c>
      <c r="L269" s="12">
        <v>15</v>
      </c>
      <c r="M269" s="12">
        <v>38</v>
      </c>
      <c r="N269" s="12">
        <v>0</v>
      </c>
      <c r="O269" s="14"/>
      <c r="P269" s="6">
        <v>42619.809525462959</v>
      </c>
      <c r="Q269" s="15" t="s">
        <v>185</v>
      </c>
      <c r="R269" s="18"/>
      <c r="S269" s="11"/>
      <c r="T269" s="11"/>
      <c r="U269" s="10" t="str">
        <f>HYPERLINK("https://pbs.twimg.com/profile_images/899041483797540864/SV3vFt7k.jpg","View")</f>
        <v>View</v>
      </c>
    </row>
    <row r="270" spans="1:21" ht="30.6">
      <c r="A270" s="6">
        <v>43441.897743055553</v>
      </c>
      <c r="B270" s="7" t="str">
        <f>HYPERLINK("https://twitter.com/Duelelab","@Duelelab")</f>
        <v>@Duelelab</v>
      </c>
      <c r="C270" s="8" t="s">
        <v>1037</v>
      </c>
      <c r="D270" s="9" t="s">
        <v>1038</v>
      </c>
      <c r="E270" s="10" t="str">
        <f>HYPERLINK("https://twitter.com/Duelelab/status/1071140480048644096","1071140480048644096")</f>
        <v>1071140480048644096</v>
      </c>
      <c r="F270" s="11"/>
      <c r="G270" s="16" t="s">
        <v>1039</v>
      </c>
      <c r="H270" s="11"/>
      <c r="I270" s="12">
        <v>19</v>
      </c>
      <c r="J270" s="12">
        <v>27</v>
      </c>
      <c r="K270" s="13" t="str">
        <f>HYPERLINK("http://twitter.com/download/android","Twitter for Android")</f>
        <v>Twitter for Android</v>
      </c>
      <c r="L270" s="12">
        <v>10201</v>
      </c>
      <c r="M270" s="12">
        <v>3426</v>
      </c>
      <c r="N270" s="12">
        <v>102</v>
      </c>
      <c r="O270" s="14"/>
      <c r="P270" s="6">
        <v>41830.764004629629</v>
      </c>
      <c r="Q270" s="11"/>
      <c r="R270" s="17" t="s">
        <v>1040</v>
      </c>
      <c r="S270" s="11"/>
      <c r="T270" s="11"/>
      <c r="U270" s="10" t="str">
        <f>HYPERLINK("https://pbs.twimg.com/profile_images/914050990097223680/V25T08jL.jpg","View")</f>
        <v>View</v>
      </c>
    </row>
    <row r="271" spans="1:21" ht="40.799999999999997">
      <c r="A271" s="6">
        <v>43441.897557870368</v>
      </c>
      <c r="B271" s="7" t="str">
        <f>HYPERLINK("https://twitter.com/magno671","@magno671")</f>
        <v>@magno671</v>
      </c>
      <c r="C271" s="8" t="s">
        <v>1041</v>
      </c>
      <c r="D271" s="9" t="s">
        <v>1042</v>
      </c>
      <c r="E271" s="10" t="str">
        <f>HYPERLINK("https://twitter.com/magno671/status/1071140412235104258","1071140412235104258")</f>
        <v>1071140412235104258</v>
      </c>
      <c r="F271" s="16" t="s">
        <v>1043</v>
      </c>
      <c r="G271" s="11"/>
      <c r="H271" s="11"/>
      <c r="I271" s="12">
        <v>0</v>
      </c>
      <c r="J271" s="12">
        <v>0</v>
      </c>
      <c r="K271" s="13" t="str">
        <f>HYPERLINK("https://www.google.com/","Google")</f>
        <v>Google</v>
      </c>
      <c r="L271" s="12">
        <v>816</v>
      </c>
      <c r="M271" s="12">
        <v>767</v>
      </c>
      <c r="N271" s="12">
        <v>9</v>
      </c>
      <c r="O271" s="14"/>
      <c r="P271" s="6">
        <v>40935.749849537038</v>
      </c>
      <c r="Q271" s="15" t="s">
        <v>1044</v>
      </c>
      <c r="R271" s="17" t="s">
        <v>1045</v>
      </c>
      <c r="S271" s="11"/>
      <c r="T271" s="11"/>
      <c r="U271" s="10" t="str">
        <f>HYPERLINK("https://pbs.twimg.com/profile_images/571765444206280704/BsxpcRBw.jpeg","View")</f>
        <v>View</v>
      </c>
    </row>
    <row r="272" spans="1:21" ht="91.8">
      <c r="A272" s="6">
        <v>43441.897256944445</v>
      </c>
      <c r="B272" s="7" t="str">
        <f>HYPERLINK("https://twitter.com/CdV_Sevilla","@CdV_Sevilla")</f>
        <v>@CdV_Sevilla</v>
      </c>
      <c r="C272" s="8" t="s">
        <v>1046</v>
      </c>
      <c r="D272" s="9" t="s">
        <v>1047</v>
      </c>
      <c r="E272" s="10" t="str">
        <f>HYPERLINK("https://twitter.com/CdV_Sevilla/status/1071140303665553408","1071140303665553408")</f>
        <v>1071140303665553408</v>
      </c>
      <c r="F272" s="16" t="s">
        <v>1007</v>
      </c>
      <c r="G272" s="11"/>
      <c r="H272" s="11"/>
      <c r="I272" s="12">
        <v>15</v>
      </c>
      <c r="J272" s="12">
        <v>19</v>
      </c>
      <c r="K272" s="13" t="str">
        <f>HYPERLINK("http://twitter.com/download/android","Twitter for Android")</f>
        <v>Twitter for Android</v>
      </c>
      <c r="L272" s="12">
        <v>1543</v>
      </c>
      <c r="M272" s="12">
        <v>956</v>
      </c>
      <c r="N272" s="12">
        <v>34</v>
      </c>
      <c r="O272" s="14"/>
      <c r="P272" s="6">
        <v>42413.679826388892</v>
      </c>
      <c r="Q272" s="15" t="s">
        <v>1048</v>
      </c>
      <c r="R272" s="17" t="s">
        <v>1049</v>
      </c>
      <c r="S272" s="16" t="s">
        <v>1050</v>
      </c>
      <c r="T272" s="11"/>
      <c r="U272" s="10" t="str">
        <f>HYPERLINK("https://pbs.twimg.com/profile_images/957983565756747776/zk42RW9r.jpg","View")</f>
        <v>View</v>
      </c>
    </row>
    <row r="273" spans="1:21" ht="51">
      <c r="A273" s="6">
        <v>43441.89435185185</v>
      </c>
      <c r="B273" s="7" t="str">
        <f>HYPERLINK("https://twitter.com/MrInsustancial","@MrInsustancial")</f>
        <v>@MrInsustancial</v>
      </c>
      <c r="C273" s="8" t="s">
        <v>1051</v>
      </c>
      <c r="D273" s="9" t="s">
        <v>1052</v>
      </c>
      <c r="E273" s="10" t="str">
        <f>HYPERLINK("https://twitter.com/MrInsustancial/status/1071139248500342784","1071139248500342784")</f>
        <v>1071139248500342784</v>
      </c>
      <c r="F273" s="11"/>
      <c r="G273" s="11"/>
      <c r="H273" s="11"/>
      <c r="I273" s="12">
        <v>7</v>
      </c>
      <c r="J273" s="12">
        <v>26</v>
      </c>
      <c r="K273" s="13" t="str">
        <f>HYPERLINK("http://twitter.com","Twitter Web Client")</f>
        <v>Twitter Web Client</v>
      </c>
      <c r="L273" s="12">
        <v>16524</v>
      </c>
      <c r="M273" s="12">
        <v>1298</v>
      </c>
      <c r="N273" s="12">
        <v>448</v>
      </c>
      <c r="O273" s="14"/>
      <c r="P273" s="6">
        <v>39570.602777777778</v>
      </c>
      <c r="Q273" s="11"/>
      <c r="R273" s="17" t="s">
        <v>1053</v>
      </c>
      <c r="S273" s="16" t="s">
        <v>1054</v>
      </c>
      <c r="T273" s="11"/>
      <c r="U273" s="10" t="str">
        <f>HYPERLINK("https://pbs.twimg.com/profile_images/1703149225/fotobadoo.jpg","View")</f>
        <v>View</v>
      </c>
    </row>
    <row r="274" spans="1:21" ht="30.6">
      <c r="A274" s="6">
        <v>43441.893425925926</v>
      </c>
      <c r="B274" s="7" t="str">
        <f>HYPERLINK("https://twitter.com/Lisacat2018","@Lisacat2018")</f>
        <v>@Lisacat2018</v>
      </c>
      <c r="C274" s="8" t="s">
        <v>1055</v>
      </c>
      <c r="D274" s="9" t="s">
        <v>1056</v>
      </c>
      <c r="E274" s="10" t="str">
        <f>HYPERLINK("https://twitter.com/Lisacat2018/status/1071138915107639301","1071138915107639301")</f>
        <v>1071138915107639301</v>
      </c>
      <c r="F274" s="16" t="s">
        <v>1057</v>
      </c>
      <c r="G274" s="11"/>
      <c r="H274" s="11"/>
      <c r="I274" s="12">
        <v>0</v>
      </c>
      <c r="J274" s="12">
        <v>0</v>
      </c>
      <c r="K274" s="13" t="str">
        <f t="shared" ref="K274:K276" si="86">HYPERLINK("http://twitter.com/download/android","Twitter for Android")</f>
        <v>Twitter for Android</v>
      </c>
      <c r="L274" s="12">
        <v>396</v>
      </c>
      <c r="M274" s="12">
        <v>273</v>
      </c>
      <c r="N274" s="12">
        <v>1</v>
      </c>
      <c r="O274" s="14"/>
      <c r="P274" s="6">
        <v>42971.978495370371</v>
      </c>
      <c r="Q274" s="15" t="s">
        <v>1058</v>
      </c>
      <c r="R274" s="17" t="s">
        <v>1059</v>
      </c>
      <c r="S274" s="16" t="s">
        <v>1060</v>
      </c>
      <c r="T274" s="11"/>
      <c r="U274" s="10" t="str">
        <f>HYPERLINK("https://pbs.twimg.com/profile_images/1064208805003751424/eKD10p-o.jpg","View")</f>
        <v>View</v>
      </c>
    </row>
    <row r="275" spans="1:21" ht="51">
      <c r="A275" s="6">
        <v>43441.89298611111</v>
      </c>
      <c r="B275" s="7" t="str">
        <f>HYPERLINK("https://twitter.com/criadosan","@criadosan")</f>
        <v>@criadosan</v>
      </c>
      <c r="C275" s="8" t="s">
        <v>1061</v>
      </c>
      <c r="D275" s="9" t="s">
        <v>1062</v>
      </c>
      <c r="E275" s="10" t="str">
        <f>HYPERLINK("https://twitter.com/criadosan/status/1071138754486784001","1071138754486784001")</f>
        <v>1071138754486784001</v>
      </c>
      <c r="F275" s="11"/>
      <c r="G275" s="16" t="s">
        <v>1063</v>
      </c>
      <c r="H275" s="11"/>
      <c r="I275" s="12">
        <v>10</v>
      </c>
      <c r="J275" s="12">
        <v>8</v>
      </c>
      <c r="K275" s="13" t="str">
        <f t="shared" si="86"/>
        <v>Twitter for Android</v>
      </c>
      <c r="L275" s="12">
        <v>5142</v>
      </c>
      <c r="M275" s="12">
        <v>3975</v>
      </c>
      <c r="N275" s="12">
        <v>17</v>
      </c>
      <c r="O275" s="14"/>
      <c r="P275" s="6">
        <v>41966.886886574073</v>
      </c>
      <c r="Q275" s="11"/>
      <c r="R275" s="17" t="s">
        <v>1064</v>
      </c>
      <c r="S275" s="11"/>
      <c r="T275" s="11"/>
      <c r="U275" s="10" t="str">
        <f>HYPERLINK("https://pbs.twimg.com/profile_images/538343815661486081/5lyKx_VJ.jpeg","View")</f>
        <v>View</v>
      </c>
    </row>
    <row r="276" spans="1:21" ht="30.6">
      <c r="A276" s="6">
        <v>43441.891689814816</v>
      </c>
      <c r="B276" s="7" t="str">
        <f>HYPERLINK("https://twitter.com/kinglacoste_","@kinglacoste_")</f>
        <v>@kinglacoste_</v>
      </c>
      <c r="C276" s="8" t="s">
        <v>1065</v>
      </c>
      <c r="D276" s="9" t="s">
        <v>1066</v>
      </c>
      <c r="E276" s="10" t="str">
        <f>HYPERLINK("https://twitter.com/kinglacoste_/status/1071138285420990466","1071138285420990466")</f>
        <v>1071138285420990466</v>
      </c>
      <c r="F276" s="11"/>
      <c r="G276" s="11"/>
      <c r="H276" s="11"/>
      <c r="I276" s="12">
        <v>0</v>
      </c>
      <c r="J276" s="12">
        <v>0</v>
      </c>
      <c r="K276" s="13" t="str">
        <f t="shared" si="86"/>
        <v>Twitter for Android</v>
      </c>
      <c r="L276" s="12">
        <v>153</v>
      </c>
      <c r="M276" s="12">
        <v>54</v>
      </c>
      <c r="N276" s="12">
        <v>0</v>
      </c>
      <c r="O276" s="14"/>
      <c r="P276" s="6">
        <v>41914.720011574071</v>
      </c>
      <c r="Q276" s="15" t="s">
        <v>1067</v>
      </c>
      <c r="R276" s="17" t="s">
        <v>1068</v>
      </c>
      <c r="S276" s="11"/>
      <c r="T276" s="11"/>
      <c r="U276" s="10" t="str">
        <f>HYPERLINK("https://pbs.twimg.com/profile_images/1069906009102131200/IVZsaWyf.jpg","View")</f>
        <v>View</v>
      </c>
    </row>
    <row r="277" spans="1:21" ht="40.799999999999997">
      <c r="A277" s="6">
        <v>43441.890671296293</v>
      </c>
      <c r="B277" s="7" t="str">
        <f>HYPERLINK("https://twitter.com/RojosPiojosos","@RojosPiojosos")</f>
        <v>@RojosPiojosos</v>
      </c>
      <c r="C277" s="8" t="s">
        <v>1069</v>
      </c>
      <c r="D277" s="9" t="s">
        <v>1070</v>
      </c>
      <c r="E277" s="10" t="str">
        <f>HYPERLINK("https://twitter.com/RojosPiojosos/status/1071137913486872578","1071137913486872578")</f>
        <v>1071137913486872578</v>
      </c>
      <c r="F277" s="11"/>
      <c r="G277" s="11"/>
      <c r="H277" s="11"/>
      <c r="I277" s="12">
        <v>3</v>
      </c>
      <c r="J277" s="12">
        <v>3</v>
      </c>
      <c r="K277" s="13" t="str">
        <f>HYPERLINK("http://twitter.com/download/iphone","Twitter for iPhone")</f>
        <v>Twitter for iPhone</v>
      </c>
      <c r="L277" s="12">
        <v>1137</v>
      </c>
      <c r="M277" s="12">
        <v>742</v>
      </c>
      <c r="N277" s="12">
        <v>29</v>
      </c>
      <c r="O277" s="14"/>
      <c r="P277" s="6">
        <v>40616.49083333333</v>
      </c>
      <c r="Q277" s="15" t="s">
        <v>185</v>
      </c>
      <c r="R277" s="17" t="s">
        <v>1071</v>
      </c>
      <c r="S277" s="11"/>
      <c r="T277" s="11"/>
      <c r="U277" s="10" t="str">
        <f>HYPERLINK("https://pbs.twimg.com/profile_images/784688243543576576/u_o-dWZX.jpg","View")</f>
        <v>View</v>
      </c>
    </row>
    <row r="278" spans="1:21" ht="30.6">
      <c r="A278" s="6">
        <v>43441.888958333337</v>
      </c>
      <c r="B278" s="7" t="str">
        <f>HYPERLINK("https://twitter.com/MiguelAGBatista","@MiguelAGBatista")</f>
        <v>@MiguelAGBatista</v>
      </c>
      <c r="C278" s="8" t="s">
        <v>1072</v>
      </c>
      <c r="D278" s="9" t="s">
        <v>1073</v>
      </c>
      <c r="E278" s="10" t="str">
        <f>HYPERLINK("https://twitter.com/MiguelAGBatista/status/1071137293484871681","1071137293484871681")</f>
        <v>1071137293484871681</v>
      </c>
      <c r="F278" s="16" t="s">
        <v>1074</v>
      </c>
      <c r="G278" s="16" t="s">
        <v>1075</v>
      </c>
      <c r="H278" s="11"/>
      <c r="I278" s="12">
        <v>0</v>
      </c>
      <c r="J278" s="12">
        <v>0</v>
      </c>
      <c r="K278" s="13" t="str">
        <f>HYPERLINK("https://buffer.com","Buffer")</f>
        <v>Buffer</v>
      </c>
      <c r="L278" s="12">
        <v>3066</v>
      </c>
      <c r="M278" s="12">
        <v>2755</v>
      </c>
      <c r="N278" s="12">
        <v>90</v>
      </c>
      <c r="O278" s="14"/>
      <c r="P278" s="6">
        <v>39928.688194444447</v>
      </c>
      <c r="Q278" s="15" t="s">
        <v>1076</v>
      </c>
      <c r="R278" s="17" t="s">
        <v>1077</v>
      </c>
      <c r="S278" s="11"/>
      <c r="T278" s="11"/>
      <c r="U278" s="10" t="str">
        <f>HYPERLINK("https://pbs.twimg.com/profile_images/917118513151692801/H_YCvEKH.jpg","View")</f>
        <v>View</v>
      </c>
    </row>
    <row r="279" spans="1:21" ht="30.6">
      <c r="A279" s="6">
        <v>43441.888275462959</v>
      </c>
      <c r="B279" s="7" t="str">
        <f>HYPERLINK("https://twitter.com/HispaniaFortius","@HispaniaFortius")</f>
        <v>@HispaniaFortius</v>
      </c>
      <c r="C279" s="8" t="s">
        <v>1078</v>
      </c>
      <c r="D279" s="9" t="s">
        <v>1079</v>
      </c>
      <c r="E279" s="10" t="str">
        <f>HYPERLINK("https://twitter.com/HispaniaFortius/status/1071137047799365645","1071137047799365645")</f>
        <v>1071137047799365645</v>
      </c>
      <c r="F279" s="11"/>
      <c r="G279" s="16" t="s">
        <v>1080</v>
      </c>
      <c r="H279" s="11"/>
      <c r="I279" s="12">
        <v>72</v>
      </c>
      <c r="J279" s="12">
        <v>109</v>
      </c>
      <c r="K279" s="13" t="str">
        <f>HYPERLINK("http://twitter.com","Twitter Web Client")</f>
        <v>Twitter Web Client</v>
      </c>
      <c r="L279" s="12">
        <v>4830</v>
      </c>
      <c r="M279" s="12">
        <v>3180</v>
      </c>
      <c r="N279" s="12">
        <v>25</v>
      </c>
      <c r="O279" s="14"/>
      <c r="P279" s="6">
        <v>42705.48436342593</v>
      </c>
      <c r="Q279" s="15" t="s">
        <v>1081</v>
      </c>
      <c r="R279" s="17" t="s">
        <v>1082</v>
      </c>
      <c r="S279" s="16" t="s">
        <v>1083</v>
      </c>
      <c r="T279" s="11"/>
      <c r="U279" s="10" t="str">
        <f>HYPERLINK("https://pbs.twimg.com/profile_images/1046663897560829952/eNO1bPMq.jpg","View")</f>
        <v>View</v>
      </c>
    </row>
    <row r="280" spans="1:21" ht="91.8">
      <c r="A280" s="6">
        <v>43441.887650462959</v>
      </c>
      <c r="B280" s="7" t="str">
        <f>HYPERLINK("https://twitter.com/CdV_Andalucia","@CdV_Andalucia")</f>
        <v>@CdV_Andalucia</v>
      </c>
      <c r="C280" s="8" t="s">
        <v>1084</v>
      </c>
      <c r="D280" s="9" t="s">
        <v>1085</v>
      </c>
      <c r="E280" s="10" t="str">
        <f>HYPERLINK("https://twitter.com/CdV_Andalucia/status/1071136821340487680","1071136821340487680")</f>
        <v>1071136821340487680</v>
      </c>
      <c r="F280" s="16" t="s">
        <v>1007</v>
      </c>
      <c r="G280" s="11"/>
      <c r="H280" s="11"/>
      <c r="I280" s="12">
        <v>13</v>
      </c>
      <c r="J280" s="12">
        <v>13</v>
      </c>
      <c r="K280" s="13" t="str">
        <f>HYPERLINK("http://twitter.com/download/android","Twitter for Android")</f>
        <v>Twitter for Android</v>
      </c>
      <c r="L280" s="12">
        <v>1855</v>
      </c>
      <c r="M280" s="12">
        <v>1383</v>
      </c>
      <c r="N280" s="12">
        <v>30</v>
      </c>
      <c r="O280" s="14"/>
      <c r="P280" s="6">
        <v>42373.927835648152</v>
      </c>
      <c r="Q280" s="15" t="s">
        <v>1086</v>
      </c>
      <c r="R280" s="17" t="s">
        <v>1087</v>
      </c>
      <c r="S280" s="16" t="s">
        <v>1050</v>
      </c>
      <c r="T280" s="11"/>
      <c r="U280" s="10" t="str">
        <f>HYPERLINK("https://pbs.twimg.com/profile_images/958826064628854786/BhEpus8U.jpg","View")</f>
        <v>View</v>
      </c>
    </row>
    <row r="281" spans="1:21" ht="20.399999999999999">
      <c r="A281" s="6">
        <v>43441.887407407412</v>
      </c>
      <c r="B281" s="7" t="str">
        <f>HYPERLINK("https://twitter.com/Icunde_67","@Icunde_67")</f>
        <v>@Icunde_67</v>
      </c>
      <c r="C281" s="8" t="s">
        <v>1088</v>
      </c>
      <c r="D281" s="9" t="s">
        <v>734</v>
      </c>
      <c r="E281" s="10" t="str">
        <f>HYPERLINK("https://twitter.com/Icunde_67/status/1071136731649462273","1071136731649462273")</f>
        <v>1071136731649462273</v>
      </c>
      <c r="F281" s="16" t="s">
        <v>735</v>
      </c>
      <c r="G281" s="11"/>
      <c r="H281" s="11"/>
      <c r="I281" s="12">
        <v>0</v>
      </c>
      <c r="J281" s="12">
        <v>0</v>
      </c>
      <c r="K281" s="13" t="str">
        <f>HYPERLINK("http://twitter.com","Twitter Web Client")</f>
        <v>Twitter Web Client</v>
      </c>
      <c r="L281" s="12">
        <v>3028</v>
      </c>
      <c r="M281" s="12">
        <v>2956</v>
      </c>
      <c r="N281" s="12">
        <v>58</v>
      </c>
      <c r="O281" s="14"/>
      <c r="P281" s="6">
        <v>41337.625509259262</v>
      </c>
      <c r="Q281" s="15" t="s">
        <v>986</v>
      </c>
      <c r="R281" s="18"/>
      <c r="S281" s="11"/>
      <c r="T281" s="11"/>
      <c r="U281" s="10" t="str">
        <f>HYPERLINK("https://pbs.twimg.com/profile_images/3433288835/ddf48551b37514135c1663e873eab7e1.jpeg","View")</f>
        <v>View</v>
      </c>
    </row>
    <row r="282" spans="1:21" ht="71.400000000000006">
      <c r="A282" s="6">
        <v>43441.881840277776</v>
      </c>
      <c r="B282" s="7" t="str">
        <f>HYPERLINK("https://twitter.com/FlavioElvespa","@FlavioElvespa")</f>
        <v>@FlavioElvespa</v>
      </c>
      <c r="C282" s="8" t="s">
        <v>1089</v>
      </c>
      <c r="D282" s="9" t="s">
        <v>1090</v>
      </c>
      <c r="E282" s="10" t="str">
        <f>HYPERLINK("https://twitter.com/FlavioElvespa/status/1071134714528968705","1071134714528968705")</f>
        <v>1071134714528968705</v>
      </c>
      <c r="F282" s="15" t="s">
        <v>1091</v>
      </c>
      <c r="G282" s="11"/>
      <c r="H282" s="11"/>
      <c r="I282" s="12">
        <v>0</v>
      </c>
      <c r="J282" s="12">
        <v>0</v>
      </c>
      <c r="K282" s="13" t="str">
        <f>HYPERLINK("http://twitter.com/download/iphone","Twitter for iPhone")</f>
        <v>Twitter for iPhone</v>
      </c>
      <c r="L282" s="12">
        <v>359</v>
      </c>
      <c r="M282" s="12">
        <v>595</v>
      </c>
      <c r="N282" s="12">
        <v>1</v>
      </c>
      <c r="O282" s="14"/>
      <c r="P282" s="6">
        <v>43025.500428240739</v>
      </c>
      <c r="Q282" s="15" t="s">
        <v>1092</v>
      </c>
      <c r="R282" s="18"/>
      <c r="S282" s="11"/>
      <c r="T282" s="11"/>
      <c r="U282" s="10" t="str">
        <f>HYPERLINK("https://pbs.twimg.com/profile_images/941668501781209094/xxgijaXr.jpg","View")</f>
        <v>View</v>
      </c>
    </row>
    <row r="283" spans="1:21" ht="20.399999999999999">
      <c r="A283" s="6">
        <v>43441.881284722222</v>
      </c>
      <c r="B283" s="7" t="str">
        <f>HYPERLINK("https://twitter.com/Propaganda_esp","@Propaganda_esp")</f>
        <v>@Propaganda_esp</v>
      </c>
      <c r="C283" s="8" t="s">
        <v>1093</v>
      </c>
      <c r="D283" s="9" t="s">
        <v>1094</v>
      </c>
      <c r="E283" s="10" t="str">
        <f>HYPERLINK("https://twitter.com/Propaganda_esp/status/1071134511931506689","1071134511931506689")</f>
        <v>1071134511931506689</v>
      </c>
      <c r="F283" s="16" t="s">
        <v>1095</v>
      </c>
      <c r="G283" s="11"/>
      <c r="H283" s="11"/>
      <c r="I283" s="12">
        <v>0</v>
      </c>
      <c r="J283" s="12">
        <v>0</v>
      </c>
      <c r="K283" s="13" t="str">
        <f>HYPERLINK("https://mobile.twitter.com","Twitter Lite")</f>
        <v>Twitter Lite</v>
      </c>
      <c r="L283" s="12">
        <v>6</v>
      </c>
      <c r="M283" s="12">
        <v>72</v>
      </c>
      <c r="N283" s="12">
        <v>0</v>
      </c>
      <c r="O283" s="14"/>
      <c r="P283" s="6">
        <v>43437.66878472222</v>
      </c>
      <c r="Q283" s="11"/>
      <c r="R283" s="17" t="s">
        <v>1096</v>
      </c>
      <c r="S283" s="11"/>
      <c r="T283" s="11"/>
      <c r="U283" s="10" t="str">
        <f>HYPERLINK("https://pbs.twimg.com/profile_images/1069612022722121728/QGJinzo3.jpg","View")</f>
        <v>View</v>
      </c>
    </row>
    <row r="284" spans="1:21" ht="91.8">
      <c r="A284" s="6">
        <v>43441.878784722227</v>
      </c>
      <c r="B284" s="7" t="str">
        <f>HYPERLINK("https://twitter.com/TemplarioGR","@TemplarioGR")</f>
        <v>@TemplarioGR</v>
      </c>
      <c r="C284" s="8" t="s">
        <v>1097</v>
      </c>
      <c r="D284" s="9" t="s">
        <v>1098</v>
      </c>
      <c r="E284" s="10" t="str">
        <f>HYPERLINK("https://twitter.com/TemplarioGR/status/1071133606083477504","1071133606083477504")</f>
        <v>1071133606083477504</v>
      </c>
      <c r="F284" s="15" t="s">
        <v>219</v>
      </c>
      <c r="G284" s="11"/>
      <c r="H284" s="11"/>
      <c r="I284" s="12">
        <v>0</v>
      </c>
      <c r="J284" s="12">
        <v>0</v>
      </c>
      <c r="K284" s="13" t="str">
        <f>HYPERLINK("http://twitter.com/download/android","Twitter for Android")</f>
        <v>Twitter for Android</v>
      </c>
      <c r="L284" s="12">
        <v>88</v>
      </c>
      <c r="M284" s="12">
        <v>170</v>
      </c>
      <c r="N284" s="12">
        <v>1</v>
      </c>
      <c r="O284" s="14"/>
      <c r="P284" s="6">
        <v>43195.097650462965</v>
      </c>
      <c r="Q284" s="15" t="s">
        <v>1099</v>
      </c>
      <c r="R284" s="17" t="s">
        <v>1100</v>
      </c>
      <c r="S284" s="11"/>
      <c r="T284" s="11"/>
      <c r="U284" s="10" t="str">
        <f>HYPERLINK("https://pbs.twimg.com/profile_images/983532997696741376/xid7KRm_.jpg","View")</f>
        <v>View</v>
      </c>
    </row>
    <row r="285" spans="1:21" ht="20.399999999999999">
      <c r="A285" s="6">
        <v>43441.878564814819</v>
      </c>
      <c r="B285" s="7" t="str">
        <f>HYPERLINK("https://twitter.com/eduardoinda","@eduardoinda")</f>
        <v>@eduardoinda</v>
      </c>
      <c r="C285" s="8" t="s">
        <v>644</v>
      </c>
      <c r="D285" s="9" t="s">
        <v>1101</v>
      </c>
      <c r="E285" s="10" t="str">
        <f>HYPERLINK("https://twitter.com/eduardoinda/status/1071133527905849344","1071133527905849344")</f>
        <v>1071133527905849344</v>
      </c>
      <c r="F285" s="16" t="s">
        <v>1102</v>
      </c>
      <c r="G285" s="11"/>
      <c r="H285" s="11"/>
      <c r="I285" s="12">
        <v>76</v>
      </c>
      <c r="J285" s="12">
        <v>165</v>
      </c>
      <c r="K285" s="13" t="str">
        <f>HYPERLINK("https://www.echobox.com","Echobox Social")</f>
        <v>Echobox Social</v>
      </c>
      <c r="L285" s="12">
        <v>87227</v>
      </c>
      <c r="M285" s="12">
        <v>136</v>
      </c>
      <c r="N285" s="12">
        <v>649</v>
      </c>
      <c r="O285" s="23" t="s">
        <v>89</v>
      </c>
      <c r="P285" s="6">
        <v>42412.515844907408</v>
      </c>
      <c r="Q285" s="11"/>
      <c r="R285" s="17" t="s">
        <v>647</v>
      </c>
      <c r="S285" s="16" t="s">
        <v>648</v>
      </c>
      <c r="T285" s="11"/>
      <c r="U285" s="10" t="str">
        <f>HYPERLINK("https://pbs.twimg.com/profile_images/698106393526722560/hA9Itqr5.jpg","View")</f>
        <v>View</v>
      </c>
    </row>
    <row r="286" spans="1:21" ht="40.799999999999997">
      <c r="A286" s="6">
        <v>43441.877812499995</v>
      </c>
      <c r="B286" s="7" t="str">
        <f>HYPERLINK("https://twitter.com/carlosdanoz","@carlosdanoz")</f>
        <v>@carlosdanoz</v>
      </c>
      <c r="C286" s="8" t="s">
        <v>1103</v>
      </c>
      <c r="D286" s="9" t="s">
        <v>1104</v>
      </c>
      <c r="E286" s="10" t="str">
        <f>HYPERLINK("https://twitter.com/carlosdanoz/status/1071133254961586176","1071133254961586176")</f>
        <v>1071133254961586176</v>
      </c>
      <c r="F286" s="16" t="s">
        <v>1105</v>
      </c>
      <c r="G286" s="16" t="s">
        <v>1106</v>
      </c>
      <c r="H286" s="11"/>
      <c r="I286" s="12">
        <v>0</v>
      </c>
      <c r="J286" s="12">
        <v>0</v>
      </c>
      <c r="K286" s="13" t="str">
        <f t="shared" ref="K286:K287" si="87">HYPERLINK("http://twitter.com","Twitter Web Client")</f>
        <v>Twitter Web Client</v>
      </c>
      <c r="L286" s="12">
        <v>2816</v>
      </c>
      <c r="M286" s="12">
        <v>2193</v>
      </c>
      <c r="N286" s="12">
        <v>30</v>
      </c>
      <c r="O286" s="14"/>
      <c r="P286" s="6">
        <v>41191.947222222225</v>
      </c>
      <c r="Q286" s="15" t="s">
        <v>1107</v>
      </c>
      <c r="R286" s="17" t="s">
        <v>1108</v>
      </c>
      <c r="S286" s="11"/>
      <c r="T286" s="11"/>
      <c r="U286" s="10" t="str">
        <f>HYPERLINK("https://pbs.twimg.com/profile_images/816000027613134849/ZDtVrihI.jpg","View")</f>
        <v>View</v>
      </c>
    </row>
    <row r="287" spans="1:21" ht="20.399999999999999">
      <c r="A287" s="6">
        <v>43441.87635416667</v>
      </c>
      <c r="B287" s="7" t="str">
        <f>HYPERLINK("https://twitter.com/MOONVICUS4","@MOONVICUS4")</f>
        <v>@MOONVICUS4</v>
      </c>
      <c r="C287" s="8" t="s">
        <v>1109</v>
      </c>
      <c r="D287" s="9" t="s">
        <v>734</v>
      </c>
      <c r="E287" s="10" t="str">
        <f>HYPERLINK("https://twitter.com/MOONVICUS4/status/1071132728085630984","1071132728085630984")</f>
        <v>1071132728085630984</v>
      </c>
      <c r="F287" s="16" t="s">
        <v>735</v>
      </c>
      <c r="G287" s="11"/>
      <c r="H287" s="11"/>
      <c r="I287" s="12">
        <v>0</v>
      </c>
      <c r="J287" s="12">
        <v>1</v>
      </c>
      <c r="K287" s="13" t="str">
        <f t="shared" si="87"/>
        <v>Twitter Web Client</v>
      </c>
      <c r="L287" s="12">
        <v>616</v>
      </c>
      <c r="M287" s="12">
        <v>3819</v>
      </c>
      <c r="N287" s="12">
        <v>1</v>
      </c>
      <c r="O287" s="14"/>
      <c r="P287" s="6">
        <v>42934.587685185186</v>
      </c>
      <c r="Q287" s="11"/>
      <c r="R287" s="18"/>
      <c r="S287" s="11"/>
      <c r="T287" s="11"/>
      <c r="U287" s="23" t="s">
        <v>437</v>
      </c>
    </row>
    <row r="288" spans="1:21" ht="30.6">
      <c r="A288" s="6">
        <v>43441.87501157407</v>
      </c>
      <c r="B288" s="7" t="str">
        <f>HYPERLINK("https://twitter.com/okdiario","@okdiario")</f>
        <v>@okdiario</v>
      </c>
      <c r="C288" s="8" t="s">
        <v>582</v>
      </c>
      <c r="D288" s="9" t="s">
        <v>1110</v>
      </c>
      <c r="E288" s="10" t="str">
        <f>HYPERLINK("https://twitter.com/okdiario/status/1071132239906299905","1071132239906299905")</f>
        <v>1071132239906299905</v>
      </c>
      <c r="F288" s="11"/>
      <c r="G288" s="16" t="s">
        <v>1111</v>
      </c>
      <c r="H288" s="11"/>
      <c r="I288" s="12">
        <v>221</v>
      </c>
      <c r="J288" s="12">
        <v>246</v>
      </c>
      <c r="K288" s="13" t="str">
        <f>HYPERLINK("https://studio.twitter.com","Twitter Media Studio")</f>
        <v>Twitter Media Studio</v>
      </c>
      <c r="L288" s="12">
        <v>112411</v>
      </c>
      <c r="M288" s="12">
        <v>343</v>
      </c>
      <c r="N288" s="12">
        <v>1440</v>
      </c>
      <c r="O288" s="23" t="s">
        <v>89</v>
      </c>
      <c r="P288" s="6">
        <v>42241.708229166667</v>
      </c>
      <c r="Q288" s="11"/>
      <c r="R288" s="17" t="s">
        <v>585</v>
      </c>
      <c r="S288" s="16" t="s">
        <v>586</v>
      </c>
      <c r="T288" s="11"/>
      <c r="U288" s="10" t="str">
        <f>HYPERLINK("https://pbs.twimg.com/profile_images/789113773697208320/3LvFvi8Q.jpg","View")</f>
        <v>View</v>
      </c>
    </row>
    <row r="289" spans="1:21" ht="51">
      <c r="A289" s="6">
        <v>43441.872129629628</v>
      </c>
      <c r="B289" s="7" t="str">
        <f>HYPERLINK("https://twitter.com/aztibegia","@aztibegia")</f>
        <v>@aztibegia</v>
      </c>
      <c r="C289" s="8" t="s">
        <v>1112</v>
      </c>
      <c r="D289" s="9" t="s">
        <v>1113</v>
      </c>
      <c r="E289" s="10" t="str">
        <f>HYPERLINK("https://twitter.com/aztibegia/status/1071131198016114689","1071131198016114689")</f>
        <v>1071131198016114689</v>
      </c>
      <c r="F289" s="11"/>
      <c r="G289" s="11"/>
      <c r="H289" s="11"/>
      <c r="I289" s="12">
        <v>0</v>
      </c>
      <c r="J289" s="12">
        <v>0</v>
      </c>
      <c r="K289" s="13" t="str">
        <f>HYPERLINK("https://mobile.twitter.com","Twitter Lite")</f>
        <v>Twitter Lite</v>
      </c>
      <c r="L289" s="12">
        <v>286</v>
      </c>
      <c r="M289" s="12">
        <v>1306</v>
      </c>
      <c r="N289" s="12">
        <v>11</v>
      </c>
      <c r="O289" s="14"/>
      <c r="P289" s="6">
        <v>41076.44767361111</v>
      </c>
      <c r="Q289" s="11"/>
      <c r="R289" s="17" t="s">
        <v>1114</v>
      </c>
      <c r="S289" s="11"/>
      <c r="T289" s="11"/>
      <c r="U289" s="10" t="str">
        <f>HYPERLINK("https://pbs.twimg.com/profile_images/2312780388/yavp58z03qbdisvzisbl.jpeg","View")</f>
        <v>View</v>
      </c>
    </row>
    <row r="290" spans="1:21" ht="40.799999999999997">
      <c r="A290" s="6">
        <v>43441.870416666672</v>
      </c>
      <c r="B290" s="7" t="str">
        <f>HYPERLINK("https://twitter.com/tonxcion","@tonxcion")</f>
        <v>@tonxcion</v>
      </c>
      <c r="C290" s="8" t="s">
        <v>1115</v>
      </c>
      <c r="D290" s="9" t="s">
        <v>1116</v>
      </c>
      <c r="E290" s="10" t="str">
        <f>HYPERLINK("https://twitter.com/tonxcion/status/1071130577363972096","1071130577363972096")</f>
        <v>1071130577363972096</v>
      </c>
      <c r="F290" s="11"/>
      <c r="G290" s="11"/>
      <c r="H290" s="11"/>
      <c r="I290" s="12">
        <v>0</v>
      </c>
      <c r="J290" s="12">
        <v>0</v>
      </c>
      <c r="K290" s="13" t="str">
        <f>HYPERLINK("http://twitter.com","Twitter Web Client")</f>
        <v>Twitter Web Client</v>
      </c>
      <c r="L290" s="12">
        <v>90</v>
      </c>
      <c r="M290" s="12">
        <v>114</v>
      </c>
      <c r="N290" s="12">
        <v>0</v>
      </c>
      <c r="O290" s="14"/>
      <c r="P290" s="6">
        <v>43148.620810185181</v>
      </c>
      <c r="Q290" s="11"/>
      <c r="R290" s="17" t="s">
        <v>1117</v>
      </c>
      <c r="S290" s="11"/>
      <c r="T290" s="11"/>
      <c r="U290" s="10" t="str">
        <f>HYPERLINK("https://pbs.twimg.com/profile_images/1069421404112736256/B8Yp3eXk.jpg","View")</f>
        <v>View</v>
      </c>
    </row>
    <row r="291" spans="1:21" ht="91.8">
      <c r="A291" s="6">
        <v>43441.870324074072</v>
      </c>
      <c r="B291" s="7" t="str">
        <f>HYPERLINK("https://twitter.com/AnaGarcia2Mayo","@AnaGarcia2Mayo")</f>
        <v>@AnaGarcia2Mayo</v>
      </c>
      <c r="C291" s="8" t="s">
        <v>1118</v>
      </c>
      <c r="D291" s="9" t="s">
        <v>1119</v>
      </c>
      <c r="E291" s="10" t="str">
        <f>HYPERLINK("https://twitter.com/AnaGarcia2Mayo/status/1071130542282809344","1071130542282809344")</f>
        <v>1071130542282809344</v>
      </c>
      <c r="F291" s="16" t="s">
        <v>1120</v>
      </c>
      <c r="G291" s="11"/>
      <c r="H291" s="11"/>
      <c r="I291" s="12">
        <v>0</v>
      </c>
      <c r="J291" s="12">
        <v>1</v>
      </c>
      <c r="K291" s="13" t="str">
        <f t="shared" ref="K291:K293" si="88">HYPERLINK("http://twitter.com/download/android","Twitter for Android")</f>
        <v>Twitter for Android</v>
      </c>
      <c r="L291" s="12">
        <v>39</v>
      </c>
      <c r="M291" s="12">
        <v>40</v>
      </c>
      <c r="N291" s="12">
        <v>0</v>
      </c>
      <c r="O291" s="14"/>
      <c r="P291" s="6">
        <v>43409.777951388889</v>
      </c>
      <c r="Q291" s="15" t="s">
        <v>1121</v>
      </c>
      <c r="R291" s="18"/>
      <c r="S291" s="11"/>
      <c r="T291" s="11"/>
      <c r="U291" s="10" t="str">
        <f>HYPERLINK("https://pbs.twimg.com/profile_images/1059501607229014016/9vJV2pGE.jpg","View")</f>
        <v>View</v>
      </c>
    </row>
    <row r="292" spans="1:21" ht="20.399999999999999">
      <c r="A292" s="6">
        <v>43441.868726851855</v>
      </c>
      <c r="B292" s="7" t="str">
        <f>HYPERLINK("https://twitter.com/JesusRomeroLeon","@JesusRomeroLeon")</f>
        <v>@JesusRomeroLeon</v>
      </c>
      <c r="C292" s="8" t="s">
        <v>1122</v>
      </c>
      <c r="D292" s="9" t="s">
        <v>1123</v>
      </c>
      <c r="E292" s="10" t="str">
        <f>HYPERLINK("https://twitter.com/JesusRomeroLeon/status/1071129963426926592","1071129963426926592")</f>
        <v>1071129963426926592</v>
      </c>
      <c r="F292" s="16" t="s">
        <v>1124</v>
      </c>
      <c r="G292" s="11"/>
      <c r="H292" s="11"/>
      <c r="I292" s="12">
        <v>0</v>
      </c>
      <c r="J292" s="12">
        <v>0</v>
      </c>
      <c r="K292" s="13" t="str">
        <f t="shared" si="88"/>
        <v>Twitter for Android</v>
      </c>
      <c r="L292" s="12">
        <v>890</v>
      </c>
      <c r="M292" s="12">
        <v>908</v>
      </c>
      <c r="N292" s="12">
        <v>56</v>
      </c>
      <c r="O292" s="14"/>
      <c r="P292" s="6">
        <v>40074.800462962965</v>
      </c>
      <c r="Q292" s="15" t="s">
        <v>1125</v>
      </c>
      <c r="R292" s="17" t="s">
        <v>1126</v>
      </c>
      <c r="S292" s="11"/>
      <c r="T292" s="11"/>
      <c r="U292" s="10" t="str">
        <f>HYPERLINK("https://pbs.twimg.com/profile_images/1048511285464387584/35I-j85n.jpg","View")</f>
        <v>View</v>
      </c>
    </row>
    <row r="293" spans="1:21" ht="51">
      <c r="A293" s="6">
        <v>43441.868032407408</v>
      </c>
      <c r="B293" s="7" t="str">
        <f>HYPERLINK("https://twitter.com/AlbertoSBlanco","@AlbertoSBlanco")</f>
        <v>@AlbertoSBlanco</v>
      </c>
      <c r="C293" s="8" t="s">
        <v>1127</v>
      </c>
      <c r="D293" s="9" t="s">
        <v>1128</v>
      </c>
      <c r="E293" s="10" t="str">
        <f>HYPERLINK("https://twitter.com/AlbertoSBlanco/status/1071129711751897088","1071129711751897088")</f>
        <v>1071129711751897088</v>
      </c>
      <c r="F293" s="16" t="s">
        <v>1129</v>
      </c>
      <c r="G293" s="11"/>
      <c r="H293" s="11"/>
      <c r="I293" s="12">
        <v>0</v>
      </c>
      <c r="J293" s="12">
        <v>2</v>
      </c>
      <c r="K293" s="13" t="str">
        <f t="shared" si="88"/>
        <v>Twitter for Android</v>
      </c>
      <c r="L293" s="12">
        <v>2667</v>
      </c>
      <c r="M293" s="12">
        <v>1400</v>
      </c>
      <c r="N293" s="12">
        <v>33</v>
      </c>
      <c r="O293" s="14"/>
      <c r="P293" s="6">
        <v>40747.720636574071</v>
      </c>
      <c r="Q293" s="11"/>
      <c r="R293" s="17" t="s">
        <v>1130</v>
      </c>
      <c r="S293" s="16" t="s">
        <v>1131</v>
      </c>
      <c r="T293" s="11"/>
      <c r="U293" s="10" t="str">
        <f>HYPERLINK("https://pbs.twimg.com/profile_images/966330983829135360/yRqQ0NN1.jpg","View")</f>
        <v>View</v>
      </c>
    </row>
    <row r="294" spans="1:21" ht="20.399999999999999">
      <c r="A294" s="6">
        <v>43441.866678240738</v>
      </c>
      <c r="B294" s="7" t="str">
        <f>HYPERLINK("https://twitter.com/tekiyaome","@tekiyaome")</f>
        <v>@tekiyaome</v>
      </c>
      <c r="C294" s="8" t="s">
        <v>1132</v>
      </c>
      <c r="D294" s="9" t="s">
        <v>1133</v>
      </c>
      <c r="E294" s="10" t="str">
        <f>HYPERLINK("https://twitter.com/tekiyaome/status/1071129222633140226","1071129222633140226")</f>
        <v>1071129222633140226</v>
      </c>
      <c r="F294" s="16" t="s">
        <v>1134</v>
      </c>
      <c r="G294" s="11"/>
      <c r="H294" s="11"/>
      <c r="I294" s="12">
        <v>0</v>
      </c>
      <c r="J294" s="12">
        <v>0</v>
      </c>
      <c r="K294" s="13" t="str">
        <f t="shared" ref="K294:K295" si="89">HYPERLINK("http://twitter.com","Twitter Web Client")</f>
        <v>Twitter Web Client</v>
      </c>
      <c r="L294" s="12">
        <v>267</v>
      </c>
      <c r="M294" s="12">
        <v>271</v>
      </c>
      <c r="N294" s="12">
        <v>0</v>
      </c>
      <c r="O294" s="14"/>
      <c r="P294" s="6">
        <v>42766.807766203703</v>
      </c>
      <c r="Q294" s="11"/>
      <c r="R294" s="17" t="s">
        <v>1135</v>
      </c>
      <c r="S294" s="11"/>
      <c r="T294" s="11"/>
      <c r="U294" s="10" t="str">
        <f>HYPERLINK("https://pbs.twimg.com/profile_images/1063564469807267840/uwCqGv0_.jpg","View")</f>
        <v>View</v>
      </c>
    </row>
    <row r="295" spans="1:21" ht="61.2">
      <c r="A295" s="6">
        <v>43441.863692129627</v>
      </c>
      <c r="B295" s="7" t="str">
        <f>HYPERLINK("https://twitter.com/Ana_la_antipopu","@Ana_la_antipopu")</f>
        <v>@Ana_la_antipopu</v>
      </c>
      <c r="C295" s="8" t="s">
        <v>1136</v>
      </c>
      <c r="D295" s="9" t="s">
        <v>1137</v>
      </c>
      <c r="E295" s="10" t="str">
        <f>HYPERLINK("https://twitter.com/Ana_la_antipopu/status/1071128138984374272","1071128138984374272")</f>
        <v>1071128138984374272</v>
      </c>
      <c r="F295" s="16" t="s">
        <v>260</v>
      </c>
      <c r="G295" s="16" t="s">
        <v>261</v>
      </c>
      <c r="H295" s="11"/>
      <c r="I295" s="12">
        <v>0</v>
      </c>
      <c r="J295" s="12">
        <v>1</v>
      </c>
      <c r="K295" s="13" t="str">
        <f t="shared" si="89"/>
        <v>Twitter Web Client</v>
      </c>
      <c r="L295" s="12">
        <v>87</v>
      </c>
      <c r="M295" s="12">
        <v>235</v>
      </c>
      <c r="N295" s="12">
        <v>1</v>
      </c>
      <c r="O295" s="14"/>
      <c r="P295" s="6">
        <v>42685.810752314814</v>
      </c>
      <c r="Q295" s="11"/>
      <c r="R295" s="18"/>
      <c r="S295" s="11"/>
      <c r="T295" s="11"/>
      <c r="U295" s="10" t="str">
        <f>HYPERLINK("https://pbs.twimg.com/profile_images/1040529637112201217/rHhf1G5C.jpg","View")</f>
        <v>View</v>
      </c>
    </row>
    <row r="296" spans="1:21" ht="30.6">
      <c r="A296" s="6">
        <v>43441.859074074076</v>
      </c>
      <c r="B296" s="7" t="str">
        <f>HYPERLINK("https://twitter.com/PacoLevante","@PacoLevante")</f>
        <v>@PacoLevante</v>
      </c>
      <c r="C296" s="8" t="s">
        <v>1138</v>
      </c>
      <c r="D296" s="9" t="s">
        <v>1139</v>
      </c>
      <c r="E296" s="10" t="str">
        <f>HYPERLINK("https://twitter.com/PacoLevante/status/1071126463380971520","1071126463380971520")</f>
        <v>1071126463380971520</v>
      </c>
      <c r="F296" s="11"/>
      <c r="G296" s="11"/>
      <c r="H296" s="11"/>
      <c r="I296" s="12">
        <v>0</v>
      </c>
      <c r="J296" s="12">
        <v>2</v>
      </c>
      <c r="K296" s="13" t="str">
        <f t="shared" ref="K296:K297" si="90">HYPERLINK("http://twitter.com/download/android","Twitter for Android")</f>
        <v>Twitter for Android</v>
      </c>
      <c r="L296" s="12">
        <v>192</v>
      </c>
      <c r="M296" s="12">
        <v>463</v>
      </c>
      <c r="N296" s="12">
        <v>8</v>
      </c>
      <c r="O296" s="14"/>
      <c r="P296" s="6">
        <v>41155.935486111113</v>
      </c>
      <c r="Q296" s="11"/>
      <c r="R296" s="17" t="s">
        <v>1140</v>
      </c>
      <c r="S296" s="11"/>
      <c r="T296" s="11"/>
      <c r="U296" s="10" t="str">
        <f>HYPERLINK("https://pbs.twimg.com/profile_images/972868841683542020/H7vg-G37.jpg","View")</f>
        <v>View</v>
      </c>
    </row>
    <row r="297" spans="1:21" ht="81.599999999999994">
      <c r="A297" s="6">
        <v>43441.858298611114</v>
      </c>
      <c r="B297" s="7" t="str">
        <f>HYPERLINK("https://twitter.com/Descansante","@Descansante")</f>
        <v>@Descansante</v>
      </c>
      <c r="C297" s="8" t="s">
        <v>1141</v>
      </c>
      <c r="D297" s="9" t="s">
        <v>1142</v>
      </c>
      <c r="E297" s="10" t="str">
        <f>HYPERLINK("https://twitter.com/Descansante/status/1071126184799469570","1071126184799469570")</f>
        <v>1071126184799469570</v>
      </c>
      <c r="F297" s="16" t="s">
        <v>1143</v>
      </c>
      <c r="G297" s="16" t="s">
        <v>1144</v>
      </c>
      <c r="H297" s="11"/>
      <c r="I297" s="12">
        <v>3</v>
      </c>
      <c r="J297" s="12">
        <v>9</v>
      </c>
      <c r="K297" s="13" t="str">
        <f t="shared" si="90"/>
        <v>Twitter for Android</v>
      </c>
      <c r="L297" s="12">
        <v>679</v>
      </c>
      <c r="M297" s="12">
        <v>49</v>
      </c>
      <c r="N297" s="12">
        <v>2</v>
      </c>
      <c r="O297" s="14"/>
      <c r="P297" s="6">
        <v>43268.710428240738</v>
      </c>
      <c r="Q297" s="15" t="s">
        <v>1145</v>
      </c>
      <c r="R297" s="17" t="s">
        <v>1146</v>
      </c>
      <c r="S297" s="16" t="s">
        <v>1147</v>
      </c>
      <c r="T297" s="11"/>
      <c r="U297" s="10" t="str">
        <f>HYPERLINK("https://pbs.twimg.com/profile_images/1041663778964885504/66Yt80hz.jpg","View")</f>
        <v>View</v>
      </c>
    </row>
    <row r="298" spans="1:21" ht="61.2">
      <c r="A298" s="6">
        <v>43441.857997685191</v>
      </c>
      <c r="B298" s="7" t="str">
        <f>HYPERLINK("https://twitter.com/PahChiclanaCadi","@PahChiclanaCadi")</f>
        <v>@PahChiclanaCadi</v>
      </c>
      <c r="C298" s="8" t="s">
        <v>1148</v>
      </c>
      <c r="D298" s="9" t="s">
        <v>1149</v>
      </c>
      <c r="E298" s="10" t="str">
        <f>HYPERLINK("https://twitter.com/PahChiclanaCadi/status/1071126074082373633","1071126074082373633")</f>
        <v>1071126074082373633</v>
      </c>
      <c r="F298" s="11"/>
      <c r="G298" s="16" t="s">
        <v>1150</v>
      </c>
      <c r="H298" s="11"/>
      <c r="I298" s="12">
        <v>0</v>
      </c>
      <c r="J298" s="12">
        <v>0</v>
      </c>
      <c r="K298" s="13" t="str">
        <f>HYPERLINK("http://twitter.com","Twitter Web Client")</f>
        <v>Twitter Web Client</v>
      </c>
      <c r="L298" s="12">
        <v>31</v>
      </c>
      <c r="M298" s="12">
        <v>185</v>
      </c>
      <c r="N298" s="12">
        <v>0</v>
      </c>
      <c r="O298" s="14"/>
      <c r="P298" s="6">
        <v>43007.377337962964</v>
      </c>
      <c r="Q298" s="15" t="s">
        <v>1151</v>
      </c>
      <c r="R298" s="17" t="s">
        <v>1152</v>
      </c>
      <c r="S298" s="11"/>
      <c r="T298" s="11"/>
      <c r="U298" s="10" t="str">
        <f>HYPERLINK("https://pbs.twimg.com/profile_images/1017125017279258624/9IId-DwJ.jpg","View")</f>
        <v>View</v>
      </c>
    </row>
    <row r="299" spans="1:21" ht="51">
      <c r="A299" s="6">
        <v>43441.852418981478</v>
      </c>
      <c r="B299" s="7" t="str">
        <f>HYPERLINK("https://twitter.com/AnadeVelasco2","@AnadeVelasco2")</f>
        <v>@AnadeVelasco2</v>
      </c>
      <c r="C299" s="8" t="s">
        <v>1153</v>
      </c>
      <c r="D299" s="9" t="s">
        <v>1154</v>
      </c>
      <c r="E299" s="10" t="str">
        <f>HYPERLINK("https://twitter.com/AnadeVelasco2/status/1071124051383513088","1071124051383513088")</f>
        <v>1071124051383513088</v>
      </c>
      <c r="F299" s="11"/>
      <c r="G299" s="11"/>
      <c r="H299" s="11"/>
      <c r="I299" s="12">
        <v>0</v>
      </c>
      <c r="J299" s="12">
        <v>1</v>
      </c>
      <c r="K299" s="13" t="str">
        <f t="shared" ref="K299:K300" si="91">HYPERLINK("http://twitter.com/download/android","Twitter for Android")</f>
        <v>Twitter for Android</v>
      </c>
      <c r="L299" s="12">
        <v>478</v>
      </c>
      <c r="M299" s="12">
        <v>776</v>
      </c>
      <c r="N299" s="12">
        <v>3</v>
      </c>
      <c r="O299" s="14"/>
      <c r="P299" s="6">
        <v>41196.50503472222</v>
      </c>
      <c r="Q299" s="11"/>
      <c r="R299" s="17" t="s">
        <v>1155</v>
      </c>
      <c r="S299" s="11"/>
      <c r="T299" s="11"/>
      <c r="U299" s="10" t="str">
        <f>HYPERLINK("https://pbs.twimg.com/profile_images/2716262959/481c1d1c30e59ba61b839fd414920534.jpeg","View")</f>
        <v>View</v>
      </c>
    </row>
    <row r="300" spans="1:21" ht="51">
      <c r="A300" s="6">
        <v>43441.851655092592</v>
      </c>
      <c r="B300" s="7" t="str">
        <f>HYPERLINK("https://twitter.com/karlseta_2","@karlseta_2")</f>
        <v>@karlseta_2</v>
      </c>
      <c r="C300" s="8" t="s">
        <v>1156</v>
      </c>
      <c r="D300" s="9" t="s">
        <v>1157</v>
      </c>
      <c r="E300" s="10" t="str">
        <f>HYPERLINK("https://twitter.com/karlseta_2/status/1071123778074222593","1071123778074222593")</f>
        <v>1071123778074222593</v>
      </c>
      <c r="F300" s="15" t="s">
        <v>1158</v>
      </c>
      <c r="G300" s="11"/>
      <c r="H300" s="11"/>
      <c r="I300" s="12">
        <v>3</v>
      </c>
      <c r="J300" s="12">
        <v>3</v>
      </c>
      <c r="K300" s="13" t="str">
        <f t="shared" si="91"/>
        <v>Twitter for Android</v>
      </c>
      <c r="L300" s="12">
        <v>1237</v>
      </c>
      <c r="M300" s="12">
        <v>1135</v>
      </c>
      <c r="N300" s="12">
        <v>0</v>
      </c>
      <c r="O300" s="14"/>
      <c r="P300" s="6">
        <v>43209.593599537038</v>
      </c>
      <c r="Q300" s="15" t="s">
        <v>1159</v>
      </c>
      <c r="R300" s="17" t="s">
        <v>1160</v>
      </c>
      <c r="S300" s="11"/>
      <c r="T300" s="11"/>
      <c r="U300" s="10" t="str">
        <f>HYPERLINK("https://pbs.twimg.com/profile_images/1057562733988798464/NVHu_6Bc.jpg","View")</f>
        <v>View</v>
      </c>
    </row>
    <row r="301" spans="1:21" ht="102">
      <c r="A301" s="6">
        <v>43441.851655092592</v>
      </c>
      <c r="B301" s="7" t="str">
        <f>HYPERLINK("https://twitter.com/MonteLuz2","@MonteLuz2")</f>
        <v>@MonteLuz2</v>
      </c>
      <c r="C301" s="8" t="s">
        <v>1161</v>
      </c>
      <c r="D301" s="9" t="s">
        <v>1162</v>
      </c>
      <c r="E301" s="10" t="str">
        <f>HYPERLINK("https://twitter.com/MonteLuz2/status/1071123777411563520","1071123777411563520")</f>
        <v>1071123777411563520</v>
      </c>
      <c r="F301" s="16" t="s">
        <v>1163</v>
      </c>
      <c r="G301" s="16" t="s">
        <v>1164</v>
      </c>
      <c r="H301" s="11"/>
      <c r="I301" s="12">
        <v>1</v>
      </c>
      <c r="J301" s="12">
        <v>1</v>
      </c>
      <c r="K301" s="13" t="str">
        <f>HYPERLINK("http://twitter.com/download/iphone","Twitter for iPhone")</f>
        <v>Twitter for iPhone</v>
      </c>
      <c r="L301" s="12">
        <v>117</v>
      </c>
      <c r="M301" s="12">
        <v>325</v>
      </c>
      <c r="N301" s="12">
        <v>0</v>
      </c>
      <c r="O301" s="14"/>
      <c r="P301" s="6">
        <v>41243.015972222223</v>
      </c>
      <c r="Q301" s="15" t="s">
        <v>1165</v>
      </c>
      <c r="R301" s="17" t="s">
        <v>1166</v>
      </c>
      <c r="S301" s="11"/>
      <c r="T301" s="11"/>
      <c r="U301" s="10" t="str">
        <f>HYPERLINK("https://pbs.twimg.com/profile_images/2912613588/0c587ef70076ff6b090474020e1dc339.jpeg","View")</f>
        <v>View</v>
      </c>
    </row>
    <row r="302" spans="1:21" ht="13.2">
      <c r="A302" s="6">
        <v>43441.850520833337</v>
      </c>
      <c r="B302" s="7" t="str">
        <f>HYPERLINK("https://twitter.com/arturo_sanz_","@arturo_sanz_")</f>
        <v>@arturo_sanz_</v>
      </c>
      <c r="C302" s="8" t="s">
        <v>1167</v>
      </c>
      <c r="D302" s="9" t="s">
        <v>1168</v>
      </c>
      <c r="E302" s="10" t="str">
        <f>HYPERLINK("https://twitter.com/arturo_sanz_/status/1071123367305072646","1071123367305072646")</f>
        <v>1071123367305072646</v>
      </c>
      <c r="F302" s="11"/>
      <c r="G302" s="16" t="s">
        <v>1169</v>
      </c>
      <c r="H302" s="11"/>
      <c r="I302" s="12">
        <v>1</v>
      </c>
      <c r="J302" s="12">
        <v>1</v>
      </c>
      <c r="K302" s="13" t="str">
        <f t="shared" ref="K302:K303" si="92">HYPERLINK("http://twitter.com","Twitter Web Client")</f>
        <v>Twitter Web Client</v>
      </c>
      <c r="L302" s="12">
        <v>234</v>
      </c>
      <c r="M302" s="12">
        <v>924</v>
      </c>
      <c r="N302" s="12">
        <v>4</v>
      </c>
      <c r="O302" s="14"/>
      <c r="P302" s="6">
        <v>40819.930312500001</v>
      </c>
      <c r="Q302" s="15" t="s">
        <v>1170</v>
      </c>
      <c r="R302" s="17" t="s">
        <v>1171</v>
      </c>
      <c r="S302" s="11"/>
      <c r="T302" s="11"/>
      <c r="U302" s="10" t="str">
        <f>HYPERLINK("https://pbs.twimg.com/profile_images/862746331563143169/HS8v4-V4.jpg","View")</f>
        <v>View</v>
      </c>
    </row>
    <row r="303" spans="1:21" ht="40.799999999999997">
      <c r="A303" s="6">
        <v>43441.850277777776</v>
      </c>
      <c r="B303" s="7" t="str">
        <f>HYPERLINK("https://twitter.com/carmelodifazio","@carmelodifazio")</f>
        <v>@carmelodifazio</v>
      </c>
      <c r="C303" s="8" t="s">
        <v>1172</v>
      </c>
      <c r="D303" s="9" t="s">
        <v>1173</v>
      </c>
      <c r="E303" s="10" t="str">
        <f>HYPERLINK("https://twitter.com/carmelodifazio/status/1071123279166038017","1071123279166038017")</f>
        <v>1071123279166038017</v>
      </c>
      <c r="F303" s="15" t="s">
        <v>1174</v>
      </c>
      <c r="G303" s="11"/>
      <c r="H303" s="11"/>
      <c r="I303" s="12">
        <v>2</v>
      </c>
      <c r="J303" s="12">
        <v>2</v>
      </c>
      <c r="K303" s="13" t="str">
        <f t="shared" si="92"/>
        <v>Twitter Web Client</v>
      </c>
      <c r="L303" s="12">
        <v>67620</v>
      </c>
      <c r="M303" s="12">
        <v>29898</v>
      </c>
      <c r="N303" s="12">
        <v>249</v>
      </c>
      <c r="O303" s="14"/>
      <c r="P303" s="6">
        <v>40525.98883101852</v>
      </c>
      <c r="Q303" s="15" t="s">
        <v>1175</v>
      </c>
      <c r="R303" s="17" t="s">
        <v>1176</v>
      </c>
      <c r="S303" s="16" t="s">
        <v>1177</v>
      </c>
      <c r="T303" s="11"/>
      <c r="U303" s="10" t="str">
        <f>HYPERLINK("https://pbs.twimg.com/profile_images/1069385468406652930/Fe_Drk4k.jpg","View")</f>
        <v>View</v>
      </c>
    </row>
    <row r="304" spans="1:21" ht="30.6">
      <c r="A304" s="6">
        <v>43441.849976851852</v>
      </c>
      <c r="B304" s="7" t="str">
        <f>HYPERLINK("https://twitter.com/GermanRosado8","@GermanRosado8")</f>
        <v>@GermanRosado8</v>
      </c>
      <c r="C304" s="8" t="s">
        <v>1178</v>
      </c>
      <c r="D304" s="9" t="s">
        <v>1179</v>
      </c>
      <c r="E304" s="10" t="str">
        <f>HYPERLINK("https://twitter.com/GermanRosado8/status/1071123167010324481","1071123167010324481")</f>
        <v>1071123167010324481</v>
      </c>
      <c r="F304" s="16" t="s">
        <v>516</v>
      </c>
      <c r="G304" s="16" t="s">
        <v>517</v>
      </c>
      <c r="H304" s="11"/>
      <c r="I304" s="12">
        <v>0</v>
      </c>
      <c r="J304" s="12">
        <v>0</v>
      </c>
      <c r="K304" s="13" t="str">
        <f>HYPERLINK("http://twitter.com/download/iphone","Twitter for iPhone")</f>
        <v>Twitter for iPhone</v>
      </c>
      <c r="L304" s="12">
        <v>35</v>
      </c>
      <c r="M304" s="12">
        <v>428</v>
      </c>
      <c r="N304" s="12">
        <v>0</v>
      </c>
      <c r="O304" s="14"/>
      <c r="P304" s="6">
        <v>43380.886006944449</v>
      </c>
      <c r="Q304" s="11"/>
      <c r="R304" s="18"/>
      <c r="S304" s="11"/>
      <c r="T304" s="11"/>
      <c r="U304" s="10" t="str">
        <f>HYPERLINK("https://pbs.twimg.com/profile_images/1049031964488028165/XdLCKve3.jpg","View")</f>
        <v>View</v>
      </c>
    </row>
    <row r="305" spans="1:21" ht="51">
      <c r="A305" s="6">
        <v>43441.849756944444</v>
      </c>
      <c r="B305" s="7" t="str">
        <f>HYPERLINK("https://twitter.com/MaxiRockatansky","@MaxiRockatansky")</f>
        <v>@MaxiRockatansky</v>
      </c>
      <c r="C305" s="8" t="s">
        <v>685</v>
      </c>
      <c r="D305" s="9" t="s">
        <v>1180</v>
      </c>
      <c r="E305" s="10" t="str">
        <f>HYPERLINK("https://twitter.com/MaxiRockatansky/status/1071123087725395969","1071123087725395969")</f>
        <v>1071123087725395969</v>
      </c>
      <c r="F305" s="11"/>
      <c r="G305" s="11"/>
      <c r="H305" s="11"/>
      <c r="I305" s="12">
        <v>0</v>
      </c>
      <c r="J305" s="12">
        <v>0</v>
      </c>
      <c r="K305" s="13" t="str">
        <f>HYPERLINK("http://twitter.com","Twitter Web Client")</f>
        <v>Twitter Web Client</v>
      </c>
      <c r="L305" s="12">
        <v>15</v>
      </c>
      <c r="M305" s="12">
        <v>84</v>
      </c>
      <c r="N305" s="12">
        <v>0</v>
      </c>
      <c r="O305" s="14"/>
      <c r="P305" s="6">
        <v>43281.819606481484</v>
      </c>
      <c r="Q305" s="15" t="s">
        <v>687</v>
      </c>
      <c r="R305" s="17" t="s">
        <v>688</v>
      </c>
      <c r="S305" s="11"/>
      <c r="T305" s="11"/>
      <c r="U305" s="10" t="str">
        <f>HYPERLINK("https://pbs.twimg.com/profile_images/1018973970018832384/KHva7ghs.jpg","View")</f>
        <v>View</v>
      </c>
    </row>
    <row r="306" spans="1:21" ht="20.399999999999999">
      <c r="A306" s="6">
        <v>43441.846377314811</v>
      </c>
      <c r="B306" s="7" t="str">
        <f>HYPERLINK("https://twitter.com/periodistadigit","@periodistadigit")</f>
        <v>@periodistadigit</v>
      </c>
      <c r="C306" s="8" t="s">
        <v>1181</v>
      </c>
      <c r="D306" s="9" t="s">
        <v>1182</v>
      </c>
      <c r="E306" s="10" t="str">
        <f>HYPERLINK("https://twitter.com/periodistadigit/status/1071121863999451137","1071121863999451137")</f>
        <v>1071121863999451137</v>
      </c>
      <c r="F306" s="16" t="s">
        <v>735</v>
      </c>
      <c r="G306" s="11"/>
      <c r="H306" s="11"/>
      <c r="I306" s="12">
        <v>23</v>
      </c>
      <c r="J306" s="12">
        <v>17</v>
      </c>
      <c r="K306" s="13" t="str">
        <f>HYPERLINK("http://twitter.com/download/android","Twitter for Android")</f>
        <v>Twitter for Android</v>
      </c>
      <c r="L306" s="12">
        <v>56221</v>
      </c>
      <c r="M306" s="12">
        <v>3786</v>
      </c>
      <c r="N306" s="12">
        <v>1472</v>
      </c>
      <c r="O306" s="23" t="s">
        <v>89</v>
      </c>
      <c r="P306" s="6">
        <v>40084.916296296295</v>
      </c>
      <c r="Q306" s="15" t="s">
        <v>612</v>
      </c>
      <c r="R306" s="17" t="s">
        <v>1183</v>
      </c>
      <c r="S306" s="16" t="s">
        <v>1184</v>
      </c>
      <c r="T306" s="11"/>
      <c r="U306" s="10" t="str">
        <f>HYPERLINK("https://pbs.twimg.com/profile_images/1913331873/periodista-digital.jpg","View")</f>
        <v>View</v>
      </c>
    </row>
    <row r="307" spans="1:21" ht="30.6">
      <c r="A307" s="6">
        <v>43441.845694444448</v>
      </c>
      <c r="B307" s="7" t="str">
        <f>HYPERLINK("https://twitter.com/marjmg","@marjmg")</f>
        <v>@marjmg</v>
      </c>
      <c r="C307" s="8" t="s">
        <v>1185</v>
      </c>
      <c r="D307" s="9" t="s">
        <v>1186</v>
      </c>
      <c r="E307" s="10" t="str">
        <f>HYPERLINK("https://twitter.com/marjmg/status/1071121616862625792","1071121616862625792")</f>
        <v>1071121616862625792</v>
      </c>
      <c r="F307" s="11"/>
      <c r="G307" s="16" t="s">
        <v>1187</v>
      </c>
      <c r="H307" s="11"/>
      <c r="I307" s="12">
        <v>2</v>
      </c>
      <c r="J307" s="12">
        <v>1</v>
      </c>
      <c r="K307" s="13" t="str">
        <f>HYPERLINK("http://twitter.com/download/iphone","Twitter for iPhone")</f>
        <v>Twitter for iPhone</v>
      </c>
      <c r="L307" s="12">
        <v>2465</v>
      </c>
      <c r="M307" s="12">
        <v>2161</v>
      </c>
      <c r="N307" s="12">
        <v>22</v>
      </c>
      <c r="O307" s="14"/>
      <c r="P307" s="6">
        <v>40549.487905092596</v>
      </c>
      <c r="Q307" s="15" t="s">
        <v>1188</v>
      </c>
      <c r="R307" s="17" t="s">
        <v>1189</v>
      </c>
      <c r="S307" s="11"/>
      <c r="T307" s="11"/>
      <c r="U307" s="10" t="str">
        <f>HYPERLINK("https://pbs.twimg.com/profile_images/978286919355334656/5LvY9Yzy.jpg","View")</f>
        <v>View</v>
      </c>
    </row>
    <row r="308" spans="1:21" ht="30.6">
      <c r="A308" s="6">
        <v>43441.844074074077</v>
      </c>
      <c r="B308" s="7" t="str">
        <f>HYPERLINK("https://twitter.com/brunilauer","@brunilauer")</f>
        <v>@brunilauer</v>
      </c>
      <c r="C308" s="8" t="s">
        <v>1190</v>
      </c>
      <c r="D308" s="9" t="s">
        <v>1191</v>
      </c>
      <c r="E308" s="10" t="str">
        <f>HYPERLINK("https://twitter.com/brunilauer/status/1071121028171083776","1071121028171083776")</f>
        <v>1071121028171083776</v>
      </c>
      <c r="F308" s="16" t="s">
        <v>126</v>
      </c>
      <c r="G308" s="16" t="s">
        <v>127</v>
      </c>
      <c r="H308" s="11"/>
      <c r="I308" s="12">
        <v>1</v>
      </c>
      <c r="J308" s="12">
        <v>1</v>
      </c>
      <c r="K308" s="13" t="str">
        <f t="shared" ref="K308:K309" si="93">HYPERLINK("http://twitter.com/download/android","Twitter for Android")</f>
        <v>Twitter for Android</v>
      </c>
      <c r="L308" s="12">
        <v>702</v>
      </c>
      <c r="M308" s="12">
        <v>735</v>
      </c>
      <c r="N308" s="12">
        <v>2</v>
      </c>
      <c r="O308" s="14"/>
      <c r="P308" s="6">
        <v>42965.078206018516</v>
      </c>
      <c r="Q308" s="15" t="s">
        <v>1192</v>
      </c>
      <c r="R308" s="17" t="s">
        <v>1193</v>
      </c>
      <c r="S308" s="11"/>
      <c r="T308" s="11"/>
      <c r="U308" s="10" t="str">
        <f>HYPERLINK("https://pbs.twimg.com/profile_images/931565918898941952/K1-IZCVb.jpg","View")</f>
        <v>View</v>
      </c>
    </row>
    <row r="309" spans="1:21" ht="40.799999999999997">
      <c r="A309" s="6">
        <v>43441.842291666668</v>
      </c>
      <c r="B309" s="7" t="str">
        <f>HYPERLINK("https://twitter.com/qqqqetru","@qqqqetru")</f>
        <v>@qqqqetru</v>
      </c>
      <c r="C309" s="8" t="s">
        <v>843</v>
      </c>
      <c r="D309" s="9" t="s">
        <v>1194</v>
      </c>
      <c r="E309" s="10" t="str">
        <f>HYPERLINK("https://twitter.com/qqqqetru/status/1071120382546116608","1071120382546116608")</f>
        <v>1071120382546116608</v>
      </c>
      <c r="F309" s="11"/>
      <c r="G309" s="11"/>
      <c r="H309" s="11"/>
      <c r="I309" s="12">
        <v>1</v>
      </c>
      <c r="J309" s="12">
        <v>2</v>
      </c>
      <c r="K309" s="13" t="str">
        <f t="shared" si="93"/>
        <v>Twitter for Android</v>
      </c>
      <c r="L309" s="12">
        <v>649</v>
      </c>
      <c r="M309" s="12">
        <v>1194</v>
      </c>
      <c r="N309" s="12">
        <v>2</v>
      </c>
      <c r="O309" s="14"/>
      <c r="P309" s="6">
        <v>40749.437719907408</v>
      </c>
      <c r="Q309" s="11"/>
      <c r="R309" s="18"/>
      <c r="S309" s="11"/>
      <c r="T309" s="11"/>
      <c r="U309" s="10" t="str">
        <f>HYPERLINK("https://pbs.twimg.com/profile_images/1069734331780870144/d_KYpBFy.jpg","View")</f>
        <v>View</v>
      </c>
    </row>
    <row r="310" spans="1:21" ht="30.6">
      <c r="A310" s="6">
        <v>43441.841817129629</v>
      </c>
      <c r="B310" s="7" t="str">
        <f>HYPERLINK("https://twitter.com/okdiario","@okdiario")</f>
        <v>@okdiario</v>
      </c>
      <c r="C310" s="8" t="s">
        <v>582</v>
      </c>
      <c r="D310" s="9" t="s">
        <v>1116</v>
      </c>
      <c r="E310" s="10" t="str">
        <f>HYPERLINK("https://twitter.com/okdiario/status/1071120210206343168","1071120210206343168")</f>
        <v>1071120210206343168</v>
      </c>
      <c r="F310" s="16" t="s">
        <v>1195</v>
      </c>
      <c r="G310" s="11"/>
      <c r="H310" s="11"/>
      <c r="I310" s="12">
        <v>106</v>
      </c>
      <c r="J310" s="12">
        <v>167</v>
      </c>
      <c r="K310" s="13" t="str">
        <f>HYPERLINK("https://www.echobox.com","Echobox Social")</f>
        <v>Echobox Social</v>
      </c>
      <c r="L310" s="12">
        <v>112411</v>
      </c>
      <c r="M310" s="12">
        <v>343</v>
      </c>
      <c r="N310" s="12">
        <v>1440</v>
      </c>
      <c r="O310" s="23" t="s">
        <v>89</v>
      </c>
      <c r="P310" s="6">
        <v>42241.708229166667</v>
      </c>
      <c r="Q310" s="11"/>
      <c r="R310" s="17" t="s">
        <v>585</v>
      </c>
      <c r="S310" s="16" t="s">
        <v>586</v>
      </c>
      <c r="T310" s="11"/>
      <c r="U310" s="10" t="str">
        <f>HYPERLINK("https://pbs.twimg.com/profile_images/789113773697208320/3LvFvi8Q.jpg","View")</f>
        <v>View</v>
      </c>
    </row>
    <row r="311" spans="1:21" ht="20.399999999999999">
      <c r="A311" s="6">
        <v>43441.841157407413</v>
      </c>
      <c r="B311" s="7" t="str">
        <f>HYPERLINK("https://twitter.com/NaiaraAlvz","@NaiaraAlvz")</f>
        <v>@NaiaraAlvz</v>
      </c>
      <c r="C311" s="8" t="s">
        <v>1196</v>
      </c>
      <c r="D311" s="9" t="s">
        <v>1197</v>
      </c>
      <c r="E311" s="10" t="str">
        <f>HYPERLINK("https://twitter.com/NaiaraAlvz/status/1071119972821286913","1071119972821286913")</f>
        <v>1071119972821286913</v>
      </c>
      <c r="F311" s="11"/>
      <c r="G311" s="16" t="s">
        <v>1198</v>
      </c>
      <c r="H311" s="11"/>
      <c r="I311" s="12">
        <v>0</v>
      </c>
      <c r="J311" s="12">
        <v>1</v>
      </c>
      <c r="K311" s="13" t="str">
        <f>HYPERLINK("http://twitter.com/download/iphone","Twitter for iPhone")</f>
        <v>Twitter for iPhone</v>
      </c>
      <c r="L311" s="12">
        <v>1133</v>
      </c>
      <c r="M311" s="12">
        <v>1205</v>
      </c>
      <c r="N311" s="12">
        <v>77</v>
      </c>
      <c r="O311" s="14"/>
      <c r="P311" s="6">
        <v>41215.955868055556</v>
      </c>
      <c r="Q311" s="11"/>
      <c r="R311" s="17" t="s">
        <v>1199</v>
      </c>
      <c r="S311" s="11"/>
      <c r="T311" s="11"/>
      <c r="U311" s="10" t="str">
        <f>HYPERLINK("https://pbs.twimg.com/profile_images/1068795118772281344/w02olAFc.jpg","View")</f>
        <v>View</v>
      </c>
    </row>
    <row r="312" spans="1:21" ht="61.2">
      <c r="A312" s="6">
        <v>43441.839201388888</v>
      </c>
      <c r="B312" s="7" t="str">
        <f>HYPERLINK("https://twitter.com/reallyignatius1","@reallyignatius1")</f>
        <v>@reallyignatius1</v>
      </c>
      <c r="C312" s="8" t="s">
        <v>1200</v>
      </c>
      <c r="D312" s="9" t="s">
        <v>1201</v>
      </c>
      <c r="E312" s="10" t="str">
        <f>HYPERLINK("https://twitter.com/reallyignatius1/status/1071119264214601728","1071119264214601728")</f>
        <v>1071119264214601728</v>
      </c>
      <c r="F312" s="11"/>
      <c r="G312" s="11"/>
      <c r="H312" s="11"/>
      <c r="I312" s="12">
        <v>0</v>
      </c>
      <c r="J312" s="12">
        <v>2</v>
      </c>
      <c r="K312" s="13" t="str">
        <f>HYPERLINK("http://twitter.com","Twitter Web Client")</f>
        <v>Twitter Web Client</v>
      </c>
      <c r="L312" s="12">
        <v>330</v>
      </c>
      <c r="M312" s="12">
        <v>733</v>
      </c>
      <c r="N312" s="12">
        <v>9</v>
      </c>
      <c r="O312" s="14"/>
      <c r="P312" s="6">
        <v>42743.756203703699</v>
      </c>
      <c r="Q312" s="15" t="s">
        <v>1202</v>
      </c>
      <c r="R312" s="17" t="s">
        <v>1203</v>
      </c>
      <c r="S312" s="11"/>
      <c r="T312" s="11"/>
      <c r="U312" s="23" t="s">
        <v>437</v>
      </c>
    </row>
    <row r="313" spans="1:21" ht="51">
      <c r="A313" s="6">
        <v>43441.837280092594</v>
      </c>
      <c r="B313" s="7" t="str">
        <f>HYPERLINK("https://twitter.com/karlseta_2","@karlseta_2")</f>
        <v>@karlseta_2</v>
      </c>
      <c r="C313" s="8" t="s">
        <v>1156</v>
      </c>
      <c r="D313" s="9" t="s">
        <v>1204</v>
      </c>
      <c r="E313" s="10" t="str">
        <f>HYPERLINK("https://twitter.com/karlseta_2/status/1071118567259672577","1071118567259672577")</f>
        <v>1071118567259672577</v>
      </c>
      <c r="F313" s="11"/>
      <c r="G313" s="16" t="s">
        <v>1205</v>
      </c>
      <c r="H313" s="11"/>
      <c r="I313" s="12">
        <v>55</v>
      </c>
      <c r="J313" s="12">
        <v>36</v>
      </c>
      <c r="K313" s="13" t="str">
        <f>HYPERLINK("http://twitter.com/download/android","Twitter for Android")</f>
        <v>Twitter for Android</v>
      </c>
      <c r="L313" s="12">
        <v>1237</v>
      </c>
      <c r="M313" s="12">
        <v>1135</v>
      </c>
      <c r="N313" s="12">
        <v>0</v>
      </c>
      <c r="O313" s="14"/>
      <c r="P313" s="6">
        <v>43209.593599537038</v>
      </c>
      <c r="Q313" s="15" t="s">
        <v>1159</v>
      </c>
      <c r="R313" s="17" t="s">
        <v>1160</v>
      </c>
      <c r="S313" s="11"/>
      <c r="T313" s="11"/>
      <c r="U313" s="10" t="str">
        <f>HYPERLINK("https://pbs.twimg.com/profile_images/1057562733988798464/NVHu_6Bc.jpg","View")</f>
        <v>View</v>
      </c>
    </row>
    <row r="314" spans="1:21" ht="40.799999999999997">
      <c r="A314" s="6">
        <v>43441.836921296301</v>
      </c>
      <c r="B314" s="7" t="str">
        <f>HYPERLINK("https://twitter.com/jesusropa","@jesusropa")</f>
        <v>@jesusropa</v>
      </c>
      <c r="C314" s="8" t="s">
        <v>1206</v>
      </c>
      <c r="D314" s="9" t="s">
        <v>1207</v>
      </c>
      <c r="E314" s="10" t="str">
        <f>HYPERLINK("https://twitter.com/jesusropa/status/1071118435738943489","1071118435738943489")</f>
        <v>1071118435738943489</v>
      </c>
      <c r="F314" s="16" t="s">
        <v>1208</v>
      </c>
      <c r="G314" s="11"/>
      <c r="H314" s="11"/>
      <c r="I314" s="12">
        <v>0</v>
      </c>
      <c r="J314" s="12">
        <v>0</v>
      </c>
      <c r="K314" s="13" t="str">
        <f>HYPERLINK("http://twitter.com","Twitter Web Client")</f>
        <v>Twitter Web Client</v>
      </c>
      <c r="L314" s="12">
        <v>4518</v>
      </c>
      <c r="M314" s="12">
        <v>4056</v>
      </c>
      <c r="N314" s="12">
        <v>134</v>
      </c>
      <c r="O314" s="14"/>
      <c r="P314" s="6">
        <v>40299.467766203699</v>
      </c>
      <c r="Q314" s="15" t="s">
        <v>612</v>
      </c>
      <c r="R314" s="17" t="s">
        <v>1209</v>
      </c>
      <c r="S314" s="11"/>
      <c r="T314" s="11"/>
      <c r="U314" s="10" t="str">
        <f>HYPERLINK("https://pbs.twimg.com/profile_images/740971589353771008/CdTJS3Sv.jpg","View")</f>
        <v>View</v>
      </c>
    </row>
    <row r="315" spans="1:21" ht="20.399999999999999">
      <c r="A315" s="6">
        <v>43441.836701388893</v>
      </c>
      <c r="B315" s="7" t="str">
        <f>HYPERLINK("https://twitter.com/BeatMiro","@BeatMiro")</f>
        <v>@BeatMiro</v>
      </c>
      <c r="C315" s="8" t="s">
        <v>1210</v>
      </c>
      <c r="D315" s="9" t="s">
        <v>1211</v>
      </c>
      <c r="E315" s="10" t="str">
        <f>HYPERLINK("https://twitter.com/BeatMiro/status/1071118357645197313","1071118357645197313")</f>
        <v>1071118357645197313</v>
      </c>
      <c r="F315" s="11"/>
      <c r="G315" s="16" t="s">
        <v>1212</v>
      </c>
      <c r="H315" s="11"/>
      <c r="I315" s="12">
        <v>1</v>
      </c>
      <c r="J315" s="12">
        <v>2</v>
      </c>
      <c r="K315" s="13" t="str">
        <f>HYPERLINK("http://twitter.com/download/iphone","Twitter for iPhone")</f>
        <v>Twitter for iPhone</v>
      </c>
      <c r="L315" s="12">
        <v>2992</v>
      </c>
      <c r="M315" s="12">
        <v>2903</v>
      </c>
      <c r="N315" s="12">
        <v>18</v>
      </c>
      <c r="O315" s="14"/>
      <c r="P315" s="6">
        <v>41356.816400462965</v>
      </c>
      <c r="Q315" s="15" t="s">
        <v>1213</v>
      </c>
      <c r="R315" s="17" t="s">
        <v>1214</v>
      </c>
      <c r="S315" s="11"/>
      <c r="T315" s="11"/>
      <c r="U315" s="10" t="str">
        <f>HYPERLINK("https://pbs.twimg.com/profile_images/944911380146094080/-rIHGHi6.jpg","View")</f>
        <v>View</v>
      </c>
    </row>
    <row r="316" spans="1:21" ht="61.2">
      <c r="A316" s="6">
        <v>43441.836342592593</v>
      </c>
      <c r="B316" s="7" t="str">
        <f>HYPERLINK("https://twitter.com/lunadebenidorm","@lunadebenidorm")</f>
        <v>@lunadebenidorm</v>
      </c>
      <c r="C316" s="8" t="s">
        <v>1215</v>
      </c>
      <c r="D316" s="9" t="s">
        <v>1216</v>
      </c>
      <c r="E316" s="10" t="str">
        <f>HYPERLINK("https://twitter.com/lunadebenidorm/status/1071118228120854530","1071118228120854530")</f>
        <v>1071118228120854530</v>
      </c>
      <c r="F316" s="16" t="s">
        <v>402</v>
      </c>
      <c r="G316" s="11"/>
      <c r="H316" s="11"/>
      <c r="I316" s="12">
        <v>1</v>
      </c>
      <c r="J316" s="12">
        <v>0</v>
      </c>
      <c r="K316" s="13" t="str">
        <f>HYPERLINK("http://twitter.com/download/android","Twitter for Android")</f>
        <v>Twitter for Android</v>
      </c>
      <c r="L316" s="12">
        <v>3951</v>
      </c>
      <c r="M316" s="12">
        <v>4067</v>
      </c>
      <c r="N316" s="12">
        <v>79</v>
      </c>
      <c r="O316" s="14"/>
      <c r="P316" s="6">
        <v>41461.81186342593</v>
      </c>
      <c r="Q316" s="11"/>
      <c r="R316" s="17" t="s">
        <v>1217</v>
      </c>
      <c r="S316" s="11"/>
      <c r="T316" s="11"/>
      <c r="U316" s="10" t="str">
        <f>HYPERLINK("https://pbs.twimg.com/profile_images/1066142568734515203/pN2PG8WE.jpg","View")</f>
        <v>View</v>
      </c>
    </row>
    <row r="317" spans="1:21" ht="51">
      <c r="A317" s="6">
        <v>43441.835752314815</v>
      </c>
      <c r="B317" s="7" t="str">
        <f>HYPERLINK("https://twitter.com/PepeWilliamMunn","@PepeWilliamMunn")</f>
        <v>@PepeWilliamMunn</v>
      </c>
      <c r="C317" s="8" t="s">
        <v>1218</v>
      </c>
      <c r="D317" s="9" t="s">
        <v>1219</v>
      </c>
      <c r="E317" s="10" t="str">
        <f>HYPERLINK("https://twitter.com/PepeWilliamMunn/status/1071118014525784070","1071118014525784070")</f>
        <v>1071118014525784070</v>
      </c>
      <c r="F317" s="11"/>
      <c r="G317" s="16" t="s">
        <v>1220</v>
      </c>
      <c r="H317" s="11"/>
      <c r="I317" s="12">
        <v>0</v>
      </c>
      <c r="J317" s="12">
        <v>2</v>
      </c>
      <c r="K317" s="13" t="str">
        <f>HYPERLINK("http://twitter.com","Twitter Web Client")</f>
        <v>Twitter Web Client</v>
      </c>
      <c r="L317" s="12">
        <v>4142</v>
      </c>
      <c r="M317" s="12">
        <v>4006</v>
      </c>
      <c r="N317" s="12">
        <v>52</v>
      </c>
      <c r="O317" s="14"/>
      <c r="P317" s="6">
        <v>40870.462893518517</v>
      </c>
      <c r="Q317" s="15" t="s">
        <v>197</v>
      </c>
      <c r="R317" s="17" t="s">
        <v>1221</v>
      </c>
      <c r="S317" s="16" t="s">
        <v>1222</v>
      </c>
      <c r="T317" s="11"/>
      <c r="U317" s="10" t="str">
        <f>HYPERLINK("https://pbs.twimg.com/profile_images/2870078327/2112ed271f1263253afafb4fb04f9722.jpeg","View")</f>
        <v>View</v>
      </c>
    </row>
    <row r="318" spans="1:21" ht="40.799999999999997">
      <c r="A318" s="6">
        <v>43441.830393518518</v>
      </c>
      <c r="B318" s="7" t="str">
        <f>HYPERLINK("https://twitter.com/elLokoOnFire","@elLokoOnFire")</f>
        <v>@elLokoOnFire</v>
      </c>
      <c r="C318" s="8" t="s">
        <v>1223</v>
      </c>
      <c r="D318" s="9" t="s">
        <v>1224</v>
      </c>
      <c r="E318" s="10" t="str">
        <f>HYPERLINK("https://twitter.com/elLokoOnFire/status/1071116071342653441","1071116071342653441")</f>
        <v>1071116071342653441</v>
      </c>
      <c r="F318" s="16" t="s">
        <v>1225</v>
      </c>
      <c r="G318" s="11"/>
      <c r="H318" s="11"/>
      <c r="I318" s="12">
        <v>0</v>
      </c>
      <c r="J318" s="12">
        <v>0</v>
      </c>
      <c r="K318" s="13" t="str">
        <f>HYPERLINK("http://twitter.com/download/iphone","Twitter for iPhone")</f>
        <v>Twitter for iPhone</v>
      </c>
      <c r="L318" s="12">
        <v>3214</v>
      </c>
      <c r="M318" s="12">
        <v>2813</v>
      </c>
      <c r="N318" s="12">
        <v>9</v>
      </c>
      <c r="O318" s="14"/>
      <c r="P318" s="6">
        <v>42794.544652777782</v>
      </c>
      <c r="Q318" s="15" t="s">
        <v>1226</v>
      </c>
      <c r="R318" s="17" t="s">
        <v>1227</v>
      </c>
      <c r="S318" s="11"/>
      <c r="T318" s="11"/>
      <c r="U318" s="10" t="str">
        <f>HYPERLINK("https://pbs.twimg.com/profile_images/836569302023221250/KFiIuXuN.jpg","View")</f>
        <v>View</v>
      </c>
    </row>
    <row r="319" spans="1:21" ht="20.399999999999999">
      <c r="A319" s="6">
        <v>43441.828344907408</v>
      </c>
      <c r="B319" s="7" t="str">
        <f>HYPERLINK("https://twitter.com/qqqqetru","@qqqqetru")</f>
        <v>@qqqqetru</v>
      </c>
      <c r="C319" s="8" t="s">
        <v>843</v>
      </c>
      <c r="D319" s="9" t="s">
        <v>1228</v>
      </c>
      <c r="E319" s="10" t="str">
        <f>HYPERLINK("https://twitter.com/qqqqetru/status/1071115327902285824","1071115327902285824")</f>
        <v>1071115327902285824</v>
      </c>
      <c r="F319" s="16" t="s">
        <v>1229</v>
      </c>
      <c r="G319" s="11"/>
      <c r="H319" s="11"/>
      <c r="I319" s="12">
        <v>5</v>
      </c>
      <c r="J319" s="12">
        <v>3</v>
      </c>
      <c r="K319" s="13" t="str">
        <f>HYPERLINK("http://twitter.com/download/android","Twitter for Android")</f>
        <v>Twitter for Android</v>
      </c>
      <c r="L319" s="12">
        <v>649</v>
      </c>
      <c r="M319" s="12">
        <v>1194</v>
      </c>
      <c r="N319" s="12">
        <v>2</v>
      </c>
      <c r="O319" s="14"/>
      <c r="P319" s="6">
        <v>40749.437719907408</v>
      </c>
      <c r="Q319" s="11"/>
      <c r="R319" s="18"/>
      <c r="S319" s="11"/>
      <c r="T319" s="11"/>
      <c r="U319" s="10" t="str">
        <f>HYPERLINK("https://pbs.twimg.com/profile_images/1069734331780870144/d_KYpBFy.jpg","View")</f>
        <v>View</v>
      </c>
    </row>
    <row r="320" spans="1:21" ht="40.799999999999997">
      <c r="A320" s="6">
        <v>43441.826342592598</v>
      </c>
      <c r="B320" s="7" t="str">
        <f t="shared" ref="B320:B321" si="94">HYPERLINK("https://twitter.com/PepeWilliamMunn","@PepeWilliamMunn")</f>
        <v>@PepeWilliamMunn</v>
      </c>
      <c r="C320" s="8" t="s">
        <v>1218</v>
      </c>
      <c r="D320" s="9" t="s">
        <v>1230</v>
      </c>
      <c r="E320" s="10" t="str">
        <f>HYPERLINK("https://twitter.com/PepeWilliamMunn/status/1071114604443561985","1071114604443561985")</f>
        <v>1071114604443561985</v>
      </c>
      <c r="F320" s="11"/>
      <c r="G320" s="11"/>
      <c r="H320" s="11"/>
      <c r="I320" s="12">
        <v>0</v>
      </c>
      <c r="J320" s="12">
        <v>0</v>
      </c>
      <c r="K320" s="13" t="str">
        <f t="shared" ref="K320:K322" si="95">HYPERLINK("http://twitter.com","Twitter Web Client")</f>
        <v>Twitter Web Client</v>
      </c>
      <c r="L320" s="12">
        <v>4142</v>
      </c>
      <c r="M320" s="12">
        <v>4006</v>
      </c>
      <c r="N320" s="12">
        <v>52</v>
      </c>
      <c r="O320" s="14"/>
      <c r="P320" s="6">
        <v>40870.462893518517</v>
      </c>
      <c r="Q320" s="15" t="s">
        <v>197</v>
      </c>
      <c r="R320" s="17" t="s">
        <v>1221</v>
      </c>
      <c r="S320" s="16" t="s">
        <v>1222</v>
      </c>
      <c r="T320" s="11"/>
      <c r="U320" s="10" t="str">
        <f t="shared" ref="U320:U321" si="96">HYPERLINK("https://pbs.twimg.com/profile_images/2870078327/2112ed271f1263253afafb4fb04f9722.jpeg","View")</f>
        <v>View</v>
      </c>
    </row>
    <row r="321" spans="1:21" ht="40.799999999999997">
      <c r="A321" s="6">
        <v>43441.823807870373</v>
      </c>
      <c r="B321" s="7" t="str">
        <f t="shared" si="94"/>
        <v>@PepeWilliamMunn</v>
      </c>
      <c r="C321" s="8" t="s">
        <v>1218</v>
      </c>
      <c r="D321" s="9" t="s">
        <v>1231</v>
      </c>
      <c r="E321" s="10" t="str">
        <f>HYPERLINK("https://twitter.com/PepeWilliamMunn/status/1071113683168886785","1071113683168886785")</f>
        <v>1071113683168886785</v>
      </c>
      <c r="F321" s="11"/>
      <c r="G321" s="11"/>
      <c r="H321" s="11"/>
      <c r="I321" s="12">
        <v>43</v>
      </c>
      <c r="J321" s="12">
        <v>53</v>
      </c>
      <c r="K321" s="13" t="str">
        <f t="shared" si="95"/>
        <v>Twitter Web Client</v>
      </c>
      <c r="L321" s="12">
        <v>4142</v>
      </c>
      <c r="M321" s="12">
        <v>4006</v>
      </c>
      <c r="N321" s="12">
        <v>52</v>
      </c>
      <c r="O321" s="14"/>
      <c r="P321" s="6">
        <v>40870.462893518517</v>
      </c>
      <c r="Q321" s="15" t="s">
        <v>197</v>
      </c>
      <c r="R321" s="17" t="s">
        <v>1221</v>
      </c>
      <c r="S321" s="16" t="s">
        <v>1222</v>
      </c>
      <c r="T321" s="11"/>
      <c r="U321" s="10" t="str">
        <f t="shared" si="96"/>
        <v>View</v>
      </c>
    </row>
    <row r="322" spans="1:21" ht="81.599999999999994">
      <c r="A322" s="6">
        <v>43441.822083333333</v>
      </c>
      <c r="B322" s="7" t="str">
        <f>HYPERLINK("https://twitter.com/EloyELCABO","@EloyELCABO")</f>
        <v>@EloyELCABO</v>
      </c>
      <c r="C322" s="8" t="s">
        <v>1232</v>
      </c>
      <c r="D322" s="9" t="s">
        <v>1233</v>
      </c>
      <c r="E322" s="10" t="str">
        <f>HYPERLINK("https://twitter.com/EloyELCABO/status/1071113060062904320","1071113060062904320")</f>
        <v>1071113060062904320</v>
      </c>
      <c r="F322" s="16" t="s">
        <v>1234</v>
      </c>
      <c r="G322" s="16" t="s">
        <v>1235</v>
      </c>
      <c r="H322" s="11"/>
      <c r="I322" s="12">
        <v>1</v>
      </c>
      <c r="J322" s="12">
        <v>1</v>
      </c>
      <c r="K322" s="13" t="str">
        <f t="shared" si="95"/>
        <v>Twitter Web Client</v>
      </c>
      <c r="L322" s="12">
        <v>1149</v>
      </c>
      <c r="M322" s="12">
        <v>948</v>
      </c>
      <c r="N322" s="12">
        <v>12</v>
      </c>
      <c r="O322" s="14"/>
      <c r="P322" s="6">
        <v>40954.788124999999</v>
      </c>
      <c r="Q322" s="15" t="s">
        <v>197</v>
      </c>
      <c r="R322" s="17" t="s">
        <v>1236</v>
      </c>
      <c r="S322" s="11"/>
      <c r="T322" s="11"/>
      <c r="U322" s="10" t="str">
        <f>HYPERLINK("https://pbs.twimg.com/profile_images/894113711660597249/zbpGNqgQ.jpg","View")</f>
        <v>View</v>
      </c>
    </row>
    <row r="323" spans="1:21" ht="51">
      <c r="A323" s="6">
        <v>43441.821134259255</v>
      </c>
      <c r="B323" s="7" t="str">
        <f>HYPERLINK("https://twitter.com/5_siuco","@5_siuco")</f>
        <v>@5_siuco</v>
      </c>
      <c r="C323" s="8" t="s">
        <v>1237</v>
      </c>
      <c r="D323" s="9" t="s">
        <v>1238</v>
      </c>
      <c r="E323" s="10" t="str">
        <f>HYPERLINK("https://twitter.com/5_siuco/status/1071112718231502853","1071112718231502853")</f>
        <v>1071112718231502853</v>
      </c>
      <c r="F323" s="11"/>
      <c r="G323" s="11"/>
      <c r="H323" s="11"/>
      <c r="I323" s="12">
        <v>0</v>
      </c>
      <c r="J323" s="12">
        <v>1</v>
      </c>
      <c r="K323" s="13" t="str">
        <f>HYPERLINK("http://twitter.com/download/iphone","Twitter for iPhone")</f>
        <v>Twitter for iPhone</v>
      </c>
      <c r="L323" s="12">
        <v>316</v>
      </c>
      <c r="M323" s="12">
        <v>216</v>
      </c>
      <c r="N323" s="12">
        <v>11</v>
      </c>
      <c r="O323" s="14"/>
      <c r="P323" s="6">
        <v>40711.976712962962</v>
      </c>
      <c r="Q323" s="15" t="s">
        <v>1239</v>
      </c>
      <c r="R323" s="17" t="s">
        <v>1240</v>
      </c>
      <c r="S323" s="11"/>
      <c r="T323" s="11"/>
      <c r="U323" s="10" t="str">
        <f>HYPERLINK("https://pbs.twimg.com/profile_images/878053302159777792/HvAKzoac.jpg","View")</f>
        <v>View</v>
      </c>
    </row>
    <row r="324" spans="1:21" ht="30.6">
      <c r="A324" s="6">
        <v>43441.820914351847</v>
      </c>
      <c r="B324" s="7" t="str">
        <f>HYPERLINK("https://twitter.com/DeMeison","@DeMeison")</f>
        <v>@DeMeison</v>
      </c>
      <c r="C324" s="8" t="s">
        <v>1241</v>
      </c>
      <c r="D324" s="9" t="s">
        <v>1242</v>
      </c>
      <c r="E324" s="10" t="str">
        <f>HYPERLINK("https://twitter.com/DeMeison/status/1071112634722861056","1071112634722861056")</f>
        <v>1071112634722861056</v>
      </c>
      <c r="F324" s="11"/>
      <c r="G324" s="11"/>
      <c r="H324" s="11"/>
      <c r="I324" s="12">
        <v>0</v>
      </c>
      <c r="J324" s="12">
        <v>3</v>
      </c>
      <c r="K324" s="13" t="str">
        <f>HYPERLINK("http://twitter.com/download/android","Twitter for Android")</f>
        <v>Twitter for Android</v>
      </c>
      <c r="L324" s="12">
        <v>1572</v>
      </c>
      <c r="M324" s="12">
        <v>1247</v>
      </c>
      <c r="N324" s="12">
        <v>24</v>
      </c>
      <c r="O324" s="14"/>
      <c r="P324" s="6">
        <v>40711.818657407406</v>
      </c>
      <c r="Q324" s="15" t="s">
        <v>1243</v>
      </c>
      <c r="R324" s="17" t="s">
        <v>1244</v>
      </c>
      <c r="S324" s="11"/>
      <c r="T324" s="11"/>
      <c r="U324" s="10" t="str">
        <f>HYPERLINK("https://pbs.twimg.com/profile_images/924658553121640448/v126-zQr.jpg","View")</f>
        <v>View</v>
      </c>
    </row>
    <row r="325" spans="1:21" ht="51">
      <c r="A325" s="6">
        <v>43441.820625</v>
      </c>
      <c r="B325" s="7" t="str">
        <f>HYPERLINK("https://twitter.com/djmontero","@djmontero")</f>
        <v>@djmontero</v>
      </c>
      <c r="C325" s="8" t="s">
        <v>1245</v>
      </c>
      <c r="D325" s="9" t="s">
        <v>1246</v>
      </c>
      <c r="E325" s="10" t="str">
        <f>HYPERLINK("https://twitter.com/djmontero/status/1071112531102588928","1071112531102588928")</f>
        <v>1071112531102588928</v>
      </c>
      <c r="F325" s="11"/>
      <c r="G325" s="11"/>
      <c r="H325" s="11"/>
      <c r="I325" s="12">
        <v>14</v>
      </c>
      <c r="J325" s="12">
        <v>12</v>
      </c>
      <c r="K325" s="13" t="str">
        <f>HYPERLINK("http://twitter.com","Twitter Web Client")</f>
        <v>Twitter Web Client</v>
      </c>
      <c r="L325" s="12">
        <v>3168</v>
      </c>
      <c r="M325" s="12">
        <v>1559</v>
      </c>
      <c r="N325" s="12">
        <v>96</v>
      </c>
      <c r="O325" s="14"/>
      <c r="P325" s="6">
        <v>40023.50136574074</v>
      </c>
      <c r="Q325" s="15" t="s">
        <v>185</v>
      </c>
      <c r="R325" s="17" t="s">
        <v>1247</v>
      </c>
      <c r="S325" s="16" t="s">
        <v>1248</v>
      </c>
      <c r="T325" s="11"/>
      <c r="U325" s="10" t="str">
        <f>HYPERLINK("https://pbs.twimg.com/profile_images/978674728733954050/udqJ0vVq.jpg","View")</f>
        <v>View</v>
      </c>
    </row>
    <row r="326" spans="1:21" ht="61.2">
      <c r="A326" s="6">
        <v>43441.816180555557</v>
      </c>
      <c r="B326" s="7" t="str">
        <f>HYPERLINK("https://twitter.com/KaradeKona","@KaradeKona")</f>
        <v>@KaradeKona</v>
      </c>
      <c r="C326" s="8" t="s">
        <v>1249</v>
      </c>
      <c r="D326" s="9" t="s">
        <v>1250</v>
      </c>
      <c r="E326" s="10" t="str">
        <f>HYPERLINK("https://twitter.com/KaradeKona/status/1071110922062782465","1071110922062782465")</f>
        <v>1071110922062782465</v>
      </c>
      <c r="F326" s="11"/>
      <c r="G326" s="16" t="s">
        <v>1251</v>
      </c>
      <c r="H326" s="11"/>
      <c r="I326" s="12">
        <v>12</v>
      </c>
      <c r="J326" s="12">
        <v>27</v>
      </c>
      <c r="K326" s="13" t="str">
        <f>HYPERLINK("http://twitter.com/download/android","Twitter for Android")</f>
        <v>Twitter for Android</v>
      </c>
      <c r="L326" s="12">
        <v>483</v>
      </c>
      <c r="M326" s="12">
        <v>580</v>
      </c>
      <c r="N326" s="12">
        <v>1</v>
      </c>
      <c r="O326" s="14"/>
      <c r="P326" s="6">
        <v>40513.38422453704</v>
      </c>
      <c r="Q326" s="15" t="s">
        <v>1252</v>
      </c>
      <c r="R326" s="17" t="s">
        <v>1253</v>
      </c>
      <c r="S326" s="11"/>
      <c r="T326" s="11"/>
      <c r="U326" s="10" t="str">
        <f>HYPERLINK("https://pbs.twimg.com/profile_images/924000563242717184/FcdaprTP.jpg","View")</f>
        <v>View</v>
      </c>
    </row>
    <row r="327" spans="1:21" ht="112.2">
      <c r="A327" s="6">
        <v>43441.814953703702</v>
      </c>
      <c r="B327" s="7" t="str">
        <f>HYPERLINK("https://twitter.com/JuanjoAizcorbe","@JuanjoAizcorbe")</f>
        <v>@JuanjoAizcorbe</v>
      </c>
      <c r="C327" s="8" t="s">
        <v>1254</v>
      </c>
      <c r="D327" s="9" t="s">
        <v>1255</v>
      </c>
      <c r="E327" s="10" t="str">
        <f>HYPERLINK("https://twitter.com/JuanjoAizcorbe/status/1071110477126819840","1071110477126819840")</f>
        <v>1071110477126819840</v>
      </c>
      <c r="F327" s="16" t="s">
        <v>1256</v>
      </c>
      <c r="G327" s="16" t="s">
        <v>1257</v>
      </c>
      <c r="H327" s="11"/>
      <c r="I327" s="12">
        <v>2</v>
      </c>
      <c r="J327" s="12">
        <v>5</v>
      </c>
      <c r="K327" s="13" t="str">
        <f>HYPERLINK("http://twitter.com/download/iphone","Twitter for iPhone")</f>
        <v>Twitter for iPhone</v>
      </c>
      <c r="L327" s="12">
        <v>339</v>
      </c>
      <c r="M327" s="12">
        <v>171</v>
      </c>
      <c r="N327" s="12">
        <v>6</v>
      </c>
      <c r="O327" s="14"/>
      <c r="P327" s="6">
        <v>41927.764456018514</v>
      </c>
      <c r="Q327" s="15" t="s">
        <v>197</v>
      </c>
      <c r="R327" s="17" t="s">
        <v>1258</v>
      </c>
      <c r="S327" s="16" t="s">
        <v>1259</v>
      </c>
      <c r="T327" s="11"/>
      <c r="U327" s="10" t="str">
        <f>HYPERLINK("https://pbs.twimg.com/profile_images/1027853784096096256/3PILgGu7.jpg","View")</f>
        <v>View</v>
      </c>
    </row>
    <row r="328" spans="1:21" ht="51">
      <c r="A328" s="6">
        <v>43441.814722222218</v>
      </c>
      <c r="B328" s="7" t="str">
        <f>HYPERLINK("https://twitter.com/kokecabrera","@kokecabrera")</f>
        <v>@kokecabrera</v>
      </c>
      <c r="C328" s="8" t="s">
        <v>1260</v>
      </c>
      <c r="D328" s="9" t="s">
        <v>1261</v>
      </c>
      <c r="E328" s="10" t="str">
        <f>HYPERLINK("https://twitter.com/kokecabrera/status/1071110391856545792","1071110391856545792")</f>
        <v>1071110391856545792</v>
      </c>
      <c r="F328" s="11"/>
      <c r="G328" s="16" t="s">
        <v>1262</v>
      </c>
      <c r="H328" s="11"/>
      <c r="I328" s="12">
        <v>47</v>
      </c>
      <c r="J328" s="12">
        <v>61</v>
      </c>
      <c r="K328" s="13" t="str">
        <f t="shared" ref="K328:K329" si="97">HYPERLINK("http://twitter.com/download/android","Twitter for Android")</f>
        <v>Twitter for Android</v>
      </c>
      <c r="L328" s="12">
        <v>1133</v>
      </c>
      <c r="M328" s="12">
        <v>1066</v>
      </c>
      <c r="N328" s="12">
        <v>2</v>
      </c>
      <c r="O328" s="14"/>
      <c r="P328" s="6">
        <v>40459.070439814815</v>
      </c>
      <c r="Q328" s="15" t="s">
        <v>724</v>
      </c>
      <c r="R328" s="17" t="s">
        <v>1263</v>
      </c>
      <c r="S328" s="11"/>
      <c r="T328" s="11"/>
      <c r="U328" s="10" t="str">
        <f>HYPERLINK("https://pbs.twimg.com/profile_images/1059907412499533824/eQNo9R8i.jpg","View")</f>
        <v>View</v>
      </c>
    </row>
    <row r="329" spans="1:21" ht="51">
      <c r="A329" s="6">
        <v>43441.813460648147</v>
      </c>
      <c r="B329" s="7" t="str">
        <f>HYPERLINK("https://twitter.com/Armada_CarlosG","@Armada_CarlosG")</f>
        <v>@Armada_CarlosG</v>
      </c>
      <c r="C329" s="8" t="s">
        <v>1264</v>
      </c>
      <c r="D329" s="9" t="s">
        <v>1265</v>
      </c>
      <c r="E329" s="10" t="str">
        <f>HYPERLINK("https://twitter.com/Armada_CarlosG/status/1071109934073479168","1071109934073479168")</f>
        <v>1071109934073479168</v>
      </c>
      <c r="F329" s="11"/>
      <c r="G329" s="11"/>
      <c r="H329" s="11"/>
      <c r="I329" s="12">
        <v>5</v>
      </c>
      <c r="J329" s="12">
        <v>6</v>
      </c>
      <c r="K329" s="13" t="str">
        <f t="shared" si="97"/>
        <v>Twitter for Android</v>
      </c>
      <c r="L329" s="12">
        <v>1532</v>
      </c>
      <c r="M329" s="12">
        <v>4294</v>
      </c>
      <c r="N329" s="12">
        <v>14</v>
      </c>
      <c r="O329" s="14"/>
      <c r="P329" s="6">
        <v>41893.372141203705</v>
      </c>
      <c r="Q329" s="15" t="s">
        <v>1266</v>
      </c>
      <c r="R329" s="17" t="s">
        <v>1267</v>
      </c>
      <c r="S329" s="11"/>
      <c r="T329" s="11"/>
      <c r="U329" s="10" t="str">
        <f>HYPERLINK("https://pbs.twimg.com/profile_images/980396879564460033/TK3gbD1i.jpg","View")</f>
        <v>View</v>
      </c>
    </row>
    <row r="330" spans="1:21" ht="51">
      <c r="A330" s="6">
        <v>43441.813368055555</v>
      </c>
      <c r="B330" s="7" t="str">
        <f>HYPERLINK("https://twitter.com/p_a_franco","@p_a_franco")</f>
        <v>@p_a_franco</v>
      </c>
      <c r="C330" s="8" t="s">
        <v>1268</v>
      </c>
      <c r="D330" s="9" t="s">
        <v>1269</v>
      </c>
      <c r="E330" s="10" t="str">
        <f>HYPERLINK("https://twitter.com/p_a_franco/status/1071109901848580096","1071109901848580096")</f>
        <v>1071109901848580096</v>
      </c>
      <c r="F330" s="16" t="s">
        <v>1270</v>
      </c>
      <c r="G330" s="11"/>
      <c r="H330" s="11"/>
      <c r="I330" s="12">
        <v>5</v>
      </c>
      <c r="J330" s="12">
        <v>14</v>
      </c>
      <c r="K330" s="13" t="str">
        <f>HYPERLINK("http://twitter.com","Twitter Web Client")</f>
        <v>Twitter Web Client</v>
      </c>
      <c r="L330" s="12">
        <v>2231</v>
      </c>
      <c r="M330" s="12">
        <v>429</v>
      </c>
      <c r="N330" s="12">
        <v>19</v>
      </c>
      <c r="O330" s="14"/>
      <c r="P330" s="6">
        <v>40502.464791666665</v>
      </c>
      <c r="Q330" s="15" t="s">
        <v>1271</v>
      </c>
      <c r="R330" s="17" t="s">
        <v>1272</v>
      </c>
      <c r="S330" s="11"/>
      <c r="T330" s="11"/>
      <c r="U330" s="10" t="str">
        <f>HYPERLINK("https://pbs.twimg.com/profile_images/1066045597877264384/OFk-T0Tw.jpg","View")</f>
        <v>View</v>
      </c>
    </row>
    <row r="331" spans="1:21" ht="40.799999999999997">
      <c r="A331" s="6">
        <v>43441.813194444447</v>
      </c>
      <c r="B331" s="7" t="str">
        <f>HYPERLINK("https://twitter.com/don_Diario","@don_Diario")</f>
        <v>@don_Diario</v>
      </c>
      <c r="C331" s="24" t="s">
        <v>1273</v>
      </c>
      <c r="D331" s="9" t="s">
        <v>1274</v>
      </c>
      <c r="E331" s="10" t="str">
        <f>HYPERLINK("https://twitter.com/don_Diario/status/1071109838581706752","1071109838581706752")</f>
        <v>1071109838581706752</v>
      </c>
      <c r="F331" s="16" t="s">
        <v>1275</v>
      </c>
      <c r="G331" s="16" t="s">
        <v>1276</v>
      </c>
      <c r="H331" s="11"/>
      <c r="I331" s="12">
        <v>0</v>
      </c>
      <c r="J331" s="12">
        <v>0</v>
      </c>
      <c r="K331" s="13" t="str">
        <f>HYPERLINK("https://about.twitter.com/products/tweetdeck","TweetDeck")</f>
        <v>TweetDeck</v>
      </c>
      <c r="L331" s="12">
        <v>47715</v>
      </c>
      <c r="M331" s="12">
        <v>92</v>
      </c>
      <c r="N331" s="12">
        <v>1334</v>
      </c>
      <c r="O331" s="14"/>
      <c r="P331" s="6">
        <v>39911.462465277778</v>
      </c>
      <c r="Q331" s="15" t="s">
        <v>197</v>
      </c>
      <c r="R331" s="17" t="s">
        <v>1277</v>
      </c>
      <c r="S331" s="16" t="s">
        <v>1278</v>
      </c>
      <c r="T331" s="11"/>
      <c r="U331" s="10" t="str">
        <f>HYPERLINK("https://pbs.twimg.com/profile_images/1048140162247675904/sLf5W_y0.jpg","View")</f>
        <v>View</v>
      </c>
    </row>
    <row r="332" spans="1:21" ht="51">
      <c r="A332" s="6">
        <v>43441.807870370365</v>
      </c>
      <c r="B332" s="7" t="str">
        <f>HYPERLINK("https://twitter.com/AfectadosAIDA","@AfectadosAIDA")</f>
        <v>@AfectadosAIDA</v>
      </c>
      <c r="C332" s="8" t="s">
        <v>1279</v>
      </c>
      <c r="D332" s="9" t="s">
        <v>1280</v>
      </c>
      <c r="E332" s="10" t="str">
        <f>HYPERLINK("https://twitter.com/AfectadosAIDA/status/1071107907415093249","1071107907415093249")</f>
        <v>1071107907415093249</v>
      </c>
      <c r="F332" s="11"/>
      <c r="G332" s="11"/>
      <c r="H332" s="11"/>
      <c r="I332" s="12">
        <v>4</v>
      </c>
      <c r="J332" s="12">
        <v>4</v>
      </c>
      <c r="K332" s="13" t="str">
        <f>HYPERLINK("https://mobile.twitter.com","Twitter Lite")</f>
        <v>Twitter Lite</v>
      </c>
      <c r="L332" s="12">
        <v>1991</v>
      </c>
      <c r="M332" s="12">
        <v>5001</v>
      </c>
      <c r="N332" s="12">
        <v>8</v>
      </c>
      <c r="O332" s="14"/>
      <c r="P332" s="6">
        <v>43142.501956018517</v>
      </c>
      <c r="Q332" s="15" t="s">
        <v>618</v>
      </c>
      <c r="R332" s="17" t="s">
        <v>1281</v>
      </c>
      <c r="S332" s="16" t="s">
        <v>1282</v>
      </c>
      <c r="T332" s="11"/>
      <c r="U332" s="10" t="str">
        <f>HYPERLINK("https://pbs.twimg.com/profile_images/962650498796048384/RCQ9UHT6.jpg","View")</f>
        <v>View</v>
      </c>
    </row>
    <row r="333" spans="1:21" ht="40.799999999999997">
      <c r="A333" s="6">
        <v>43441.805729166663</v>
      </c>
      <c r="B333" s="7" t="str">
        <f>HYPERLINK("https://twitter.com/BertintheKing","@BertintheKing")</f>
        <v>@BertintheKing</v>
      </c>
      <c r="C333" s="8" t="s">
        <v>1283</v>
      </c>
      <c r="D333" s="9" t="s">
        <v>1284</v>
      </c>
      <c r="E333" s="10" t="str">
        <f>HYPERLINK("https://twitter.com/BertintheKing/status/1071107132492267520","1071107132492267520")</f>
        <v>1071107132492267520</v>
      </c>
      <c r="F333" s="11"/>
      <c r="G333" s="16" t="s">
        <v>1285</v>
      </c>
      <c r="H333" s="11"/>
      <c r="I333" s="12">
        <v>0</v>
      </c>
      <c r="J333" s="12">
        <v>0</v>
      </c>
      <c r="K333" s="13" t="str">
        <f>HYPERLINK("http://twitter.com/download/android","Twitter for Android")</f>
        <v>Twitter for Android</v>
      </c>
      <c r="L333" s="12">
        <v>16</v>
      </c>
      <c r="M333" s="12">
        <v>97</v>
      </c>
      <c r="N333" s="12">
        <v>0</v>
      </c>
      <c r="O333" s="14"/>
      <c r="P333" s="6">
        <v>42378.975636574076</v>
      </c>
      <c r="Q333" s="11"/>
      <c r="R333" s="17" t="s">
        <v>1286</v>
      </c>
      <c r="S333" s="11"/>
      <c r="T333" s="11"/>
      <c r="U333" s="10" t="str">
        <f>HYPERLINK("https://pbs.twimg.com/profile_images/685951092069416960/AkvjpEiy.jpg","View")</f>
        <v>View</v>
      </c>
    </row>
    <row r="334" spans="1:21" ht="102">
      <c r="A334" s="6">
        <v>43441.805023148147</v>
      </c>
      <c r="B334" s="7" t="str">
        <f>HYPERLINK("https://twitter.com/carova48","@carova48")</f>
        <v>@carova48</v>
      </c>
      <c r="C334" s="8" t="s">
        <v>1287</v>
      </c>
      <c r="D334" s="9" t="s">
        <v>1288</v>
      </c>
      <c r="E334" s="10" t="str">
        <f>HYPERLINK("https://twitter.com/carova48/status/1071106878548135936","1071106878548135936")</f>
        <v>1071106878548135936</v>
      </c>
      <c r="F334" s="16" t="s">
        <v>1163</v>
      </c>
      <c r="G334" s="16" t="s">
        <v>1164</v>
      </c>
      <c r="H334" s="11"/>
      <c r="I334" s="12">
        <v>0</v>
      </c>
      <c r="J334" s="12">
        <v>0</v>
      </c>
      <c r="K334" s="13" t="str">
        <f>HYPERLINK("http://twitter.com","Twitter Web Client")</f>
        <v>Twitter Web Client</v>
      </c>
      <c r="L334" s="12">
        <v>169</v>
      </c>
      <c r="M334" s="12">
        <v>231</v>
      </c>
      <c r="N334" s="12">
        <v>0</v>
      </c>
      <c r="O334" s="14"/>
      <c r="P334" s="6">
        <v>40860.866145833337</v>
      </c>
      <c r="Q334" s="15" t="s">
        <v>1289</v>
      </c>
      <c r="R334" s="18"/>
      <c r="S334" s="11"/>
      <c r="T334" s="11"/>
      <c r="U334" s="10" t="str">
        <f>HYPERLINK("https://pbs.twimg.com/profile_images/1018566663220944900/TLj1sshS.jpg","View")</f>
        <v>View</v>
      </c>
    </row>
    <row r="335" spans="1:21" ht="61.2">
      <c r="A335" s="6">
        <v>43441.800752314812</v>
      </c>
      <c r="B335" s="7" t="str">
        <f>HYPERLINK("https://twitter.com/AfectadosAIDA","@AfectadosAIDA")</f>
        <v>@AfectadosAIDA</v>
      </c>
      <c r="C335" s="8" t="s">
        <v>1279</v>
      </c>
      <c r="D335" s="9" t="s">
        <v>1290</v>
      </c>
      <c r="E335" s="10" t="str">
        <f>HYPERLINK("https://twitter.com/AfectadosAIDA/status/1071105330367598592","1071105330367598592")</f>
        <v>1071105330367598592</v>
      </c>
      <c r="F335" s="11"/>
      <c r="G335" s="11"/>
      <c r="H335" s="11"/>
      <c r="I335" s="12">
        <v>2</v>
      </c>
      <c r="J335" s="12">
        <v>2</v>
      </c>
      <c r="K335" s="13" t="str">
        <f>HYPERLINK("https://mobile.twitter.com","Twitter Lite")</f>
        <v>Twitter Lite</v>
      </c>
      <c r="L335" s="12">
        <v>1991</v>
      </c>
      <c r="M335" s="12">
        <v>5001</v>
      </c>
      <c r="N335" s="12">
        <v>8</v>
      </c>
      <c r="O335" s="14"/>
      <c r="P335" s="6">
        <v>43142.501956018517</v>
      </c>
      <c r="Q335" s="15" t="s">
        <v>618</v>
      </c>
      <c r="R335" s="17" t="s">
        <v>1281</v>
      </c>
      <c r="S335" s="16" t="s">
        <v>1282</v>
      </c>
      <c r="T335" s="11"/>
      <c r="U335" s="10" t="str">
        <f>HYPERLINK("https://pbs.twimg.com/profile_images/962650498796048384/RCQ9UHT6.jpg","View")</f>
        <v>View</v>
      </c>
    </row>
    <row r="336" spans="1:21" ht="51">
      <c r="A336" s="6">
        <v>43441.796898148154</v>
      </c>
      <c r="B336" s="7" t="str">
        <f>HYPERLINK("https://twitter.com/jaimeberenguer","@jaimeberenguer")</f>
        <v>@jaimeberenguer</v>
      </c>
      <c r="C336" s="8" t="s">
        <v>1291</v>
      </c>
      <c r="D336" s="9" t="s">
        <v>1292</v>
      </c>
      <c r="E336" s="10" t="str">
        <f>HYPERLINK("https://twitter.com/jaimeberenguer/status/1071103934297718786","1071103934297718786")</f>
        <v>1071103934297718786</v>
      </c>
      <c r="F336" s="11"/>
      <c r="G336" s="11"/>
      <c r="H336" s="11"/>
      <c r="I336" s="12">
        <v>522</v>
      </c>
      <c r="J336" s="12">
        <v>729</v>
      </c>
      <c r="K336" s="13" t="str">
        <f>HYPERLINK("http://twitter.com/download/iphone","Twitter for iPhone")</f>
        <v>Twitter for iPhone</v>
      </c>
      <c r="L336" s="12">
        <v>14564</v>
      </c>
      <c r="M336" s="12">
        <v>2724</v>
      </c>
      <c r="N336" s="12">
        <v>211</v>
      </c>
      <c r="O336" s="14"/>
      <c r="P336" s="6">
        <v>40040.424120370371</v>
      </c>
      <c r="Q336" s="11"/>
      <c r="R336" s="17" t="s">
        <v>1293</v>
      </c>
      <c r="S336" s="11"/>
      <c r="T336" s="11"/>
      <c r="U336" s="10" t="str">
        <f>HYPERLINK("https://pbs.twimg.com/profile_images/1048222448372604936/LV72DRWb.jpg","View")</f>
        <v>View</v>
      </c>
    </row>
    <row r="337" spans="1:21" ht="61.2">
      <c r="A337" s="6">
        <v>43441.795949074076</v>
      </c>
      <c r="B337" s="7" t="str">
        <f>HYPERLINK("https://twitter.com/ElAngelFacha","@ElAngelFacha")</f>
        <v>@ElAngelFacha</v>
      </c>
      <c r="C337" s="8" t="s">
        <v>246</v>
      </c>
      <c r="D337" s="9" t="s">
        <v>1294</v>
      </c>
      <c r="E337" s="10" t="str">
        <f>HYPERLINK("https://twitter.com/ElAngelFacha/status/1071103591245639681","1071103591245639681")</f>
        <v>1071103591245639681</v>
      </c>
      <c r="F337" s="11"/>
      <c r="G337" s="16" t="s">
        <v>1295</v>
      </c>
      <c r="H337" s="11"/>
      <c r="I337" s="12">
        <v>91</v>
      </c>
      <c r="J337" s="12">
        <v>73</v>
      </c>
      <c r="K337" s="13" t="str">
        <f t="shared" ref="K337:K338" si="98">HYPERLINK("http://twitter.com","Twitter Web Client")</f>
        <v>Twitter Web Client</v>
      </c>
      <c r="L337" s="12">
        <v>1472</v>
      </c>
      <c r="M337" s="12">
        <v>2060</v>
      </c>
      <c r="N337" s="12">
        <v>4</v>
      </c>
      <c r="O337" s="14"/>
      <c r="P337" s="6">
        <v>42923.928784722222</v>
      </c>
      <c r="Q337" s="15" t="s">
        <v>249</v>
      </c>
      <c r="R337" s="17" t="s">
        <v>250</v>
      </c>
      <c r="S337" s="11"/>
      <c r="T337" s="11"/>
      <c r="U337" s="10" t="str">
        <f>HYPERLINK("https://pbs.twimg.com/profile_images/1068670609935208450/c84QvuV4.jpg","View")</f>
        <v>View</v>
      </c>
    </row>
    <row r="338" spans="1:21" ht="81.599999999999994">
      <c r="A338" s="6">
        <v>43441.795219907406</v>
      </c>
      <c r="B338" s="7" t="str">
        <f>HYPERLINK("https://twitter.com/cruzverde_","@cruzverde_")</f>
        <v>@cruzverde_</v>
      </c>
      <c r="C338" s="8" t="s">
        <v>1296</v>
      </c>
      <c r="D338" s="9" t="s">
        <v>1297</v>
      </c>
      <c r="E338" s="10" t="str">
        <f>HYPERLINK("https://twitter.com/cruzverde_/status/1071103326945755137","1071103326945755137")</f>
        <v>1071103326945755137</v>
      </c>
      <c r="F338" s="16" t="s">
        <v>1298</v>
      </c>
      <c r="G338" s="16" t="s">
        <v>1299</v>
      </c>
      <c r="H338" s="11"/>
      <c r="I338" s="12">
        <v>0</v>
      </c>
      <c r="J338" s="12">
        <v>0</v>
      </c>
      <c r="K338" s="13" t="str">
        <f t="shared" si="98"/>
        <v>Twitter Web Client</v>
      </c>
      <c r="L338" s="12">
        <v>1499</v>
      </c>
      <c r="M338" s="12">
        <v>2672</v>
      </c>
      <c r="N338" s="12">
        <v>40</v>
      </c>
      <c r="O338" s="14"/>
      <c r="P338" s="6">
        <v>40163.003703703704</v>
      </c>
      <c r="Q338" s="11"/>
      <c r="R338" s="17" t="s">
        <v>1300</v>
      </c>
      <c r="S338" s="16" t="s">
        <v>1301</v>
      </c>
      <c r="T338" s="11"/>
      <c r="U338" s="10" t="str">
        <f>HYPERLINK("https://pbs.twimg.com/profile_images/1784494170/AvatarRRSS.jpg","View")</f>
        <v>View</v>
      </c>
    </row>
    <row r="339" spans="1:21" ht="51">
      <c r="A339" s="6">
        <v>43441.794849537036</v>
      </c>
      <c r="B339" s="7" t="str">
        <f>HYPERLINK("https://twitter.com/BeatrizDguez","@BeatrizDguez")</f>
        <v>@BeatrizDguez</v>
      </c>
      <c r="C339" s="8" t="s">
        <v>1302</v>
      </c>
      <c r="D339" s="9" t="s">
        <v>1303</v>
      </c>
      <c r="E339" s="10" t="str">
        <f>HYPERLINK("https://twitter.com/BeatrizDguez/status/1071103190463119371","1071103190463119371")</f>
        <v>1071103190463119371</v>
      </c>
      <c r="F339" s="11"/>
      <c r="G339" s="11"/>
      <c r="H339" s="11"/>
      <c r="I339" s="12">
        <v>1</v>
      </c>
      <c r="J339" s="12">
        <v>4</v>
      </c>
      <c r="K339" s="13" t="str">
        <f>HYPERLINK("http://twitter.com/download/android","Twitter for Android")</f>
        <v>Twitter for Android</v>
      </c>
      <c r="L339" s="12">
        <v>1468</v>
      </c>
      <c r="M339" s="12">
        <v>2636</v>
      </c>
      <c r="N339" s="12">
        <v>12</v>
      </c>
      <c r="O339" s="14"/>
      <c r="P339" s="6">
        <v>40410.97084490741</v>
      </c>
      <c r="Q339" s="15" t="s">
        <v>1304</v>
      </c>
      <c r="R339" s="17" t="s">
        <v>1305</v>
      </c>
      <c r="S339" s="16" t="s">
        <v>1306</v>
      </c>
      <c r="T339" s="11"/>
      <c r="U339" s="10" t="str">
        <f>HYPERLINK("https://pbs.twimg.com/profile_images/1829335735/colorines_nuevo.gif","View")</f>
        <v>View</v>
      </c>
    </row>
    <row r="340" spans="1:21" ht="71.400000000000006">
      <c r="A340" s="6">
        <v>43441.792581018519</v>
      </c>
      <c r="B340" s="7" t="str">
        <f>HYPERLINK("https://twitter.com/moislap","@moislap")</f>
        <v>@moislap</v>
      </c>
      <c r="C340" s="8" t="s">
        <v>1307</v>
      </c>
      <c r="D340" s="9" t="s">
        <v>1308</v>
      </c>
      <c r="E340" s="10" t="str">
        <f>HYPERLINK("https://twitter.com/moislap/status/1071102367129616387","1071102367129616387")</f>
        <v>1071102367129616387</v>
      </c>
      <c r="F340" s="16" t="s">
        <v>1309</v>
      </c>
      <c r="G340" s="16" t="s">
        <v>1235</v>
      </c>
      <c r="H340" s="11"/>
      <c r="I340" s="12">
        <v>1</v>
      </c>
      <c r="J340" s="12">
        <v>0</v>
      </c>
      <c r="K340" s="13" t="str">
        <f>HYPERLINK("http://twitter.com/download/iphone","Twitter for iPhone")</f>
        <v>Twitter for iPhone</v>
      </c>
      <c r="L340" s="12">
        <v>27</v>
      </c>
      <c r="M340" s="12">
        <v>51</v>
      </c>
      <c r="N340" s="12">
        <v>0</v>
      </c>
      <c r="O340" s="14"/>
      <c r="P340" s="6">
        <v>40787.62709490741</v>
      </c>
      <c r="Q340" s="15" t="s">
        <v>676</v>
      </c>
      <c r="R340" s="18"/>
      <c r="S340" s="11"/>
      <c r="T340" s="11"/>
      <c r="U340" s="10" t="str">
        <f>HYPERLINK("https://pbs.twimg.com/profile_images/722391159486681088/p5dV-8lc.jpg","View")</f>
        <v>View</v>
      </c>
    </row>
    <row r="341" spans="1:21" ht="30.6">
      <c r="A341" s="6">
        <v>43441.791087962964</v>
      </c>
      <c r="B341" s="7" t="str">
        <f>HYPERLINK("https://twitter.com/negativo_stats","@negativo_stats")</f>
        <v>@negativo_stats</v>
      </c>
      <c r="C341" s="8" t="s">
        <v>182</v>
      </c>
      <c r="D341" s="9" t="s">
        <v>1310</v>
      </c>
      <c r="E341" s="10" t="str">
        <f>HYPERLINK("https://twitter.com/negativo_stats/status/1071101827243012097","1071101827243012097")</f>
        <v>1071101827243012097</v>
      </c>
      <c r="F341" s="11"/>
      <c r="G341" s="16" t="s">
        <v>1311</v>
      </c>
      <c r="H341" s="11"/>
      <c r="I341" s="12">
        <v>0</v>
      </c>
      <c r="J341" s="12">
        <v>0</v>
      </c>
      <c r="K341" s="13" t="str">
        <f>HYPERLINK("http://kosmonautica.es","Política Negativa")</f>
        <v>Política Negativa</v>
      </c>
      <c r="L341" s="12">
        <v>268</v>
      </c>
      <c r="M341" s="12">
        <v>788</v>
      </c>
      <c r="N341" s="12">
        <v>2</v>
      </c>
      <c r="O341" s="14"/>
      <c r="P341" s="6">
        <v>42171.770601851851</v>
      </c>
      <c r="Q341" s="15" t="s">
        <v>185</v>
      </c>
      <c r="R341" s="17" t="s">
        <v>186</v>
      </c>
      <c r="S341" s="11"/>
      <c r="T341" s="11"/>
      <c r="U341" s="10" t="str">
        <f>HYPERLINK("https://pbs.twimg.com/profile_images/628553625984438272/e-VHyhP1.png","View")</f>
        <v>View</v>
      </c>
    </row>
    <row r="342" spans="1:21" ht="112.2">
      <c r="A342" s="6">
        <v>43441.789560185185</v>
      </c>
      <c r="B342" s="7" t="str">
        <f>HYPERLINK("https://twitter.com/barbara_bitar","@barbara_bitar")</f>
        <v>@barbara_bitar</v>
      </c>
      <c r="C342" s="8" t="s">
        <v>1312</v>
      </c>
      <c r="D342" s="9" t="s">
        <v>1313</v>
      </c>
      <c r="E342" s="10" t="str">
        <f>HYPERLINK("https://twitter.com/barbara_bitar/status/1071101272625942529","1071101272625942529")</f>
        <v>1071101272625942529</v>
      </c>
      <c r="F342" s="15" t="s">
        <v>1314</v>
      </c>
      <c r="G342" s="11"/>
      <c r="H342" s="11"/>
      <c r="I342" s="12">
        <v>0</v>
      </c>
      <c r="J342" s="12">
        <v>1</v>
      </c>
      <c r="K342" s="13" t="str">
        <f>HYPERLINK("http://twitter.com/download/iphone","Twitter for iPhone")</f>
        <v>Twitter for iPhone</v>
      </c>
      <c r="L342" s="12">
        <v>3109</v>
      </c>
      <c r="M342" s="12">
        <v>3615</v>
      </c>
      <c r="N342" s="12">
        <v>14</v>
      </c>
      <c r="O342" s="14"/>
      <c r="P342" s="6">
        <v>42702.840474537035</v>
      </c>
      <c r="Q342" s="15" t="s">
        <v>1315</v>
      </c>
      <c r="R342" s="17" t="s">
        <v>1316</v>
      </c>
      <c r="S342" s="11"/>
      <c r="T342" s="11"/>
      <c r="U342" s="10" t="str">
        <f>HYPERLINK("https://pbs.twimg.com/profile_images/1035883420461744128/QfU_zkU3.jpg","View")</f>
        <v>View</v>
      </c>
    </row>
    <row r="343" spans="1:21" ht="30.6">
      <c r="A343" s="6">
        <v>43441.787835648152</v>
      </c>
      <c r="B343" s="7" t="str">
        <f>HYPERLINK("https://twitter.com/Mariodmgr","@Mariodmgr")</f>
        <v>@Mariodmgr</v>
      </c>
      <c r="C343" s="8" t="s">
        <v>1317</v>
      </c>
      <c r="D343" s="9" t="s">
        <v>1318</v>
      </c>
      <c r="E343" s="10" t="str">
        <f>HYPERLINK("https://twitter.com/Mariodmgr/status/1071100649507569664","1071100649507569664")</f>
        <v>1071100649507569664</v>
      </c>
      <c r="F343" s="11"/>
      <c r="G343" s="11"/>
      <c r="H343" s="11"/>
      <c r="I343" s="12">
        <v>0</v>
      </c>
      <c r="J343" s="12">
        <v>2</v>
      </c>
      <c r="K343" s="13" t="str">
        <f t="shared" ref="K343:K344" si="99">HYPERLINK("http://twitter.com/download/android","Twitter for Android")</f>
        <v>Twitter for Android</v>
      </c>
      <c r="L343" s="12">
        <v>62</v>
      </c>
      <c r="M343" s="12">
        <v>381</v>
      </c>
      <c r="N343" s="12">
        <v>1</v>
      </c>
      <c r="O343" s="14"/>
      <c r="P343" s="6">
        <v>42886.823611111111</v>
      </c>
      <c r="Q343" s="15" t="s">
        <v>185</v>
      </c>
      <c r="R343" s="26" t="s">
        <v>1319</v>
      </c>
      <c r="S343" s="16" t="s">
        <v>1320</v>
      </c>
      <c r="T343" s="11"/>
      <c r="U343" s="10" t="str">
        <f>HYPERLINK("https://pbs.twimg.com/profile_images/1054405540133158912/xUpdNrZO.jpg","View")</f>
        <v>View</v>
      </c>
    </row>
    <row r="344" spans="1:21" ht="51">
      <c r="A344" s="6">
        <v>43441.780601851853</v>
      </c>
      <c r="B344" s="7" t="str">
        <f>HYPERLINK("https://twitter.com/0Realista3","@0Realista3")</f>
        <v>@0Realista3</v>
      </c>
      <c r="C344" s="8" t="s">
        <v>471</v>
      </c>
      <c r="D344" s="9" t="s">
        <v>1321</v>
      </c>
      <c r="E344" s="10" t="str">
        <f>HYPERLINK("https://twitter.com/0Realista3/status/1071098028826783746","1071098028826783746")</f>
        <v>1071098028826783746</v>
      </c>
      <c r="F344" s="11"/>
      <c r="G344" s="11"/>
      <c r="H344" s="11"/>
      <c r="I344" s="12">
        <v>0</v>
      </c>
      <c r="J344" s="12">
        <v>0</v>
      </c>
      <c r="K344" s="13" t="str">
        <f t="shared" si="99"/>
        <v>Twitter for Android</v>
      </c>
      <c r="L344" s="12">
        <v>142</v>
      </c>
      <c r="M344" s="12">
        <v>183</v>
      </c>
      <c r="N344" s="12">
        <v>4</v>
      </c>
      <c r="O344" s="14"/>
      <c r="P344" s="6">
        <v>43321.979270833333</v>
      </c>
      <c r="Q344" s="11"/>
      <c r="R344" s="18"/>
      <c r="S344" s="11"/>
      <c r="T344" s="11"/>
      <c r="U344" s="10" t="str">
        <f>HYPERLINK("https://pbs.twimg.com/profile_images/1027818317438959617/4exm99jw.jpg","View")</f>
        <v>View</v>
      </c>
    </row>
    <row r="345" spans="1:21" ht="40.799999999999997">
      <c r="A345" s="6">
        <v>43441.78019675926</v>
      </c>
      <c r="B345" s="7" t="str">
        <f>HYPERLINK("https://twitter.com/anacubilla_","@anacubilla_")</f>
        <v>@anacubilla_</v>
      </c>
      <c r="C345" s="8" t="s">
        <v>1322</v>
      </c>
      <c r="D345" s="9" t="s">
        <v>1323</v>
      </c>
      <c r="E345" s="10" t="str">
        <f>HYPERLINK("https://twitter.com/anacubilla_/status/1071097879043993600","1071097879043993600")</f>
        <v>1071097879043993600</v>
      </c>
      <c r="F345" s="11"/>
      <c r="G345" s="11"/>
      <c r="H345" s="11"/>
      <c r="I345" s="12">
        <v>0</v>
      </c>
      <c r="J345" s="12">
        <v>2</v>
      </c>
      <c r="K345" s="13" t="str">
        <f>HYPERLINK("http://twitter.com/download/iphone","Twitter for iPhone")</f>
        <v>Twitter for iPhone</v>
      </c>
      <c r="L345" s="12">
        <v>1185</v>
      </c>
      <c r="M345" s="12">
        <v>300</v>
      </c>
      <c r="N345" s="12">
        <v>14</v>
      </c>
      <c r="O345" s="14"/>
      <c r="P345" s="6">
        <v>41845.978182870371</v>
      </c>
      <c r="Q345" s="15" t="s">
        <v>1324</v>
      </c>
      <c r="R345" s="17" t="s">
        <v>1325</v>
      </c>
      <c r="S345" s="11"/>
      <c r="T345" s="11"/>
      <c r="U345" s="10" t="str">
        <f>HYPERLINK("https://pbs.twimg.com/profile_images/783720494042341377/sIYDKG3g.jpg","View")</f>
        <v>View</v>
      </c>
    </row>
    <row r="346" spans="1:21" ht="102">
      <c r="A346" s="6">
        <v>43441.779872685191</v>
      </c>
      <c r="B346" s="7" t="str">
        <f>HYPERLINK("https://twitter.com/Bribon1970","@Bribon1970")</f>
        <v>@Bribon1970</v>
      </c>
      <c r="C346" s="8" t="s">
        <v>1326</v>
      </c>
      <c r="D346" s="9" t="s">
        <v>1327</v>
      </c>
      <c r="E346" s="10" t="str">
        <f>HYPERLINK("https://twitter.com/Bribon1970/status/1071097763130155008","1071097763130155008")</f>
        <v>1071097763130155008</v>
      </c>
      <c r="F346" s="16" t="s">
        <v>1328</v>
      </c>
      <c r="G346" s="11"/>
      <c r="H346" s="11"/>
      <c r="I346" s="12">
        <v>215</v>
      </c>
      <c r="J346" s="12">
        <v>239</v>
      </c>
      <c r="K346" s="13" t="str">
        <f t="shared" ref="K346:K348" si="100">HYPERLINK("http://twitter.com/download/android","Twitter for Android")</f>
        <v>Twitter for Android</v>
      </c>
      <c r="L346" s="12">
        <v>8895</v>
      </c>
      <c r="M346" s="12">
        <v>2485</v>
      </c>
      <c r="N346" s="12">
        <v>112</v>
      </c>
      <c r="O346" s="14"/>
      <c r="P346" s="6">
        <v>40711.406944444447</v>
      </c>
      <c r="Q346" s="15" t="s">
        <v>157</v>
      </c>
      <c r="R346" s="17" t="s">
        <v>1329</v>
      </c>
      <c r="S346" s="11"/>
      <c r="T346" s="11"/>
      <c r="U346" s="10" t="str">
        <f>HYPERLINK("https://pbs.twimg.com/profile_images/957565578272755712/MjkSatuv.jpg","View")</f>
        <v>View</v>
      </c>
    </row>
    <row r="347" spans="1:21" ht="61.2">
      <c r="A347" s="6">
        <v>43441.778842592597</v>
      </c>
      <c r="B347" s="7" t="str">
        <f>HYPERLINK("https://twitter.com/iSemperLiber","@iSemperLiber")</f>
        <v>@iSemperLiber</v>
      </c>
      <c r="C347" s="8" t="s">
        <v>1330</v>
      </c>
      <c r="D347" s="9" t="s">
        <v>1331</v>
      </c>
      <c r="E347" s="10" t="str">
        <f>HYPERLINK("https://twitter.com/iSemperLiber/status/1071097391519010816","1071097391519010816")</f>
        <v>1071097391519010816</v>
      </c>
      <c r="F347" s="16" t="s">
        <v>1332</v>
      </c>
      <c r="G347" s="16" t="s">
        <v>1333</v>
      </c>
      <c r="H347" s="11"/>
      <c r="I347" s="12">
        <v>2</v>
      </c>
      <c r="J347" s="12">
        <v>5</v>
      </c>
      <c r="K347" s="13" t="str">
        <f t="shared" si="100"/>
        <v>Twitter for Android</v>
      </c>
      <c r="L347" s="12">
        <v>5864</v>
      </c>
      <c r="M347" s="12">
        <v>484</v>
      </c>
      <c r="N347" s="12">
        <v>93</v>
      </c>
      <c r="O347" s="14"/>
      <c r="P347" s="6">
        <v>42372.423043981486</v>
      </c>
      <c r="Q347" s="15" t="s">
        <v>100</v>
      </c>
      <c r="R347" s="17" t="s">
        <v>1334</v>
      </c>
      <c r="S347" s="16" t="s">
        <v>1335</v>
      </c>
      <c r="T347" s="11"/>
      <c r="U347" s="10" t="str">
        <f>HYPERLINK("https://pbs.twimg.com/profile_images/1011968592953430016/rzOJ87gt.jpg","View")</f>
        <v>View</v>
      </c>
    </row>
    <row r="348" spans="1:21" ht="91.8">
      <c r="A348" s="6">
        <v>43441.777870370366</v>
      </c>
      <c r="B348" s="7" t="str">
        <f>HYPERLINK("https://twitter.com/NurseHispanic","@NurseHispanic")</f>
        <v>@NurseHispanic</v>
      </c>
      <c r="C348" s="8" t="s">
        <v>1336</v>
      </c>
      <c r="D348" s="9" t="s">
        <v>1337</v>
      </c>
      <c r="E348" s="10" t="str">
        <f>HYPERLINK("https://twitter.com/NurseHispanic/status/1071097037817561091","1071097037817561091")</f>
        <v>1071097037817561091</v>
      </c>
      <c r="F348" s="16" t="s">
        <v>1338</v>
      </c>
      <c r="G348" s="16" t="s">
        <v>1339</v>
      </c>
      <c r="H348" s="11"/>
      <c r="I348" s="12">
        <v>0</v>
      </c>
      <c r="J348" s="12">
        <v>0</v>
      </c>
      <c r="K348" s="13" t="str">
        <f t="shared" si="100"/>
        <v>Twitter for Android</v>
      </c>
      <c r="L348" s="12">
        <v>183</v>
      </c>
      <c r="M348" s="12">
        <v>822</v>
      </c>
      <c r="N348" s="12">
        <v>1</v>
      </c>
      <c r="O348" s="14"/>
      <c r="P348" s="6">
        <v>43304.857557870375</v>
      </c>
      <c r="Q348" s="15" t="s">
        <v>1340</v>
      </c>
      <c r="R348" s="17" t="s">
        <v>1341</v>
      </c>
      <c r="S348" s="11"/>
      <c r="T348" s="11"/>
      <c r="U348" s="10" t="str">
        <f>HYPERLINK("https://pbs.twimg.com/profile_images/1021464912193818624/-Lv28MEA.jpg","View")</f>
        <v>View</v>
      </c>
    </row>
    <row r="349" spans="1:21" ht="91.8">
      <c r="A349" s="6">
        <v>43441.777685185181</v>
      </c>
      <c r="B349" s="7" t="str">
        <f>HYPERLINK("https://twitter.com/moislap","@moislap")</f>
        <v>@moislap</v>
      </c>
      <c r="C349" s="8" t="s">
        <v>1307</v>
      </c>
      <c r="D349" s="9" t="s">
        <v>1342</v>
      </c>
      <c r="E349" s="10" t="str">
        <f>HYPERLINK("https://twitter.com/moislap/status/1071096971581104130","1071096971581104130")</f>
        <v>1071096971581104130</v>
      </c>
      <c r="F349" s="15" t="s">
        <v>1343</v>
      </c>
      <c r="G349" s="11"/>
      <c r="H349" s="11"/>
      <c r="I349" s="12">
        <v>1</v>
      </c>
      <c r="J349" s="12">
        <v>0</v>
      </c>
      <c r="K349" s="13" t="str">
        <f>HYPERLINK("http://twitter.com/download/iphone","Twitter for iPhone")</f>
        <v>Twitter for iPhone</v>
      </c>
      <c r="L349" s="12">
        <v>27</v>
      </c>
      <c r="M349" s="12">
        <v>51</v>
      </c>
      <c r="N349" s="12">
        <v>0</v>
      </c>
      <c r="O349" s="14"/>
      <c r="P349" s="6">
        <v>40787.62709490741</v>
      </c>
      <c r="Q349" s="15" t="s">
        <v>676</v>
      </c>
      <c r="R349" s="18"/>
      <c r="S349" s="11"/>
      <c r="T349" s="11"/>
      <c r="U349" s="10" t="str">
        <f>HYPERLINK("https://pbs.twimg.com/profile_images/722391159486681088/p5dV-8lc.jpg","View")</f>
        <v>View</v>
      </c>
    </row>
    <row r="350" spans="1:21" ht="61.2">
      <c r="A350" s="6">
        <v>43441.77621527778</v>
      </c>
      <c r="B350" s="7" t="str">
        <f>HYPERLINK("https://twitter.com/spainprimero","@spainprimero")</f>
        <v>@spainprimero</v>
      </c>
      <c r="C350" s="8" t="s">
        <v>1344</v>
      </c>
      <c r="D350" s="9" t="s">
        <v>1345</v>
      </c>
      <c r="E350" s="10" t="str">
        <f>HYPERLINK("https://twitter.com/spainprimero/status/1071096439764336640","1071096439764336640")</f>
        <v>1071096439764336640</v>
      </c>
      <c r="F350" s="16" t="s">
        <v>126</v>
      </c>
      <c r="G350" s="16" t="s">
        <v>127</v>
      </c>
      <c r="H350" s="11"/>
      <c r="I350" s="12">
        <v>25</v>
      </c>
      <c r="J350" s="12">
        <v>25</v>
      </c>
      <c r="K350" s="13" t="str">
        <f>HYPERLINK("http://twitter.com/download/android","Twitter for Android")</f>
        <v>Twitter for Android</v>
      </c>
      <c r="L350" s="12">
        <v>21404</v>
      </c>
      <c r="M350" s="12">
        <v>5161</v>
      </c>
      <c r="N350" s="12">
        <v>20</v>
      </c>
      <c r="O350" s="14"/>
      <c r="P350" s="6">
        <v>41334.663564814815</v>
      </c>
      <c r="Q350" s="15" t="s">
        <v>426</v>
      </c>
      <c r="R350" s="17" t="s">
        <v>1346</v>
      </c>
      <c r="S350" s="11"/>
      <c r="T350" s="11"/>
      <c r="U350" s="10" t="str">
        <f>HYPERLINK("https://pbs.twimg.com/profile_images/1070110947426136064/G2r806Ps.jpg","View")</f>
        <v>View</v>
      </c>
    </row>
    <row r="351" spans="1:21" ht="40.799999999999997">
      <c r="A351" s="6">
        <v>43441.772858796292</v>
      </c>
      <c r="B351" s="7" t="str">
        <f>HYPERLINK("https://twitter.com/waleska0328","@waleska0328")</f>
        <v>@waleska0328</v>
      </c>
      <c r="C351" s="8" t="s">
        <v>1347</v>
      </c>
      <c r="D351" s="9" t="s">
        <v>1348</v>
      </c>
      <c r="E351" s="10" t="str">
        <f>HYPERLINK("https://twitter.com/waleska0328/status/1071095221872603136","1071095221872603136")</f>
        <v>1071095221872603136</v>
      </c>
      <c r="F351" s="16" t="s">
        <v>1349</v>
      </c>
      <c r="G351" s="11"/>
      <c r="H351" s="11"/>
      <c r="I351" s="12">
        <v>3</v>
      </c>
      <c r="J351" s="12">
        <v>6</v>
      </c>
      <c r="K351" s="13" t="str">
        <f>HYPERLINK("http://twitter.com/download/iphone","Twitter for iPhone")</f>
        <v>Twitter for iPhone</v>
      </c>
      <c r="L351" s="12">
        <v>5282</v>
      </c>
      <c r="M351" s="12">
        <v>5786</v>
      </c>
      <c r="N351" s="12">
        <v>30</v>
      </c>
      <c r="O351" s="14"/>
      <c r="P351" s="6">
        <v>41686.866712962961</v>
      </c>
      <c r="Q351" s="15" t="s">
        <v>1350</v>
      </c>
      <c r="R351" s="17" t="s">
        <v>1351</v>
      </c>
      <c r="S351" s="11"/>
      <c r="T351" s="11"/>
      <c r="U351" s="10" t="str">
        <f>HYPERLINK("https://pbs.twimg.com/profile_images/1065743389033787392/fkqcsxbC.jpg","View")</f>
        <v>View</v>
      </c>
    </row>
    <row r="352" spans="1:21" ht="51">
      <c r="A352" s="6">
        <v>43441.768587962964</v>
      </c>
      <c r="B352" s="7" t="str">
        <f>HYPERLINK("https://twitter.com/PtfLaSilenciosa","@PtfLaSilenciosa")</f>
        <v>@PtfLaSilenciosa</v>
      </c>
      <c r="C352" s="8" t="s">
        <v>1352</v>
      </c>
      <c r="D352" s="9" t="s">
        <v>1353</v>
      </c>
      <c r="E352" s="10" t="str">
        <f>HYPERLINK("https://twitter.com/PtfLaSilenciosa/status/1071093671943176192","1071093671943176192")</f>
        <v>1071093671943176192</v>
      </c>
      <c r="F352" s="11"/>
      <c r="G352" s="16" t="s">
        <v>1354</v>
      </c>
      <c r="H352" s="11"/>
      <c r="I352" s="12">
        <v>87</v>
      </c>
      <c r="J352" s="12">
        <v>98</v>
      </c>
      <c r="K352" s="13" t="str">
        <f>HYPERLINK("http://twitter.com/download/android","Twitter for Android")</f>
        <v>Twitter for Android</v>
      </c>
      <c r="L352" s="12">
        <v>966</v>
      </c>
      <c r="M352" s="12">
        <v>310</v>
      </c>
      <c r="N352" s="12">
        <v>1</v>
      </c>
      <c r="O352" s="14"/>
      <c r="P352" s="6">
        <v>43357.39806712963</v>
      </c>
      <c r="Q352" s="15" t="s">
        <v>197</v>
      </c>
      <c r="R352" s="17" t="s">
        <v>1355</v>
      </c>
      <c r="S352" s="16" t="s">
        <v>1356</v>
      </c>
      <c r="T352" s="11"/>
      <c r="U352" s="10" t="str">
        <f>HYPERLINK("https://pbs.twimg.com/profile_images/1066720822528749568/aqkNSI5G.jpg","View")</f>
        <v>View</v>
      </c>
    </row>
    <row r="353" spans="1:21" ht="51">
      <c r="A353" s="6">
        <v>43441.76626157407</v>
      </c>
      <c r="B353" s="7" t="str">
        <f>HYPERLINK("https://twitter.com/chiccuelina","@chiccuelina")</f>
        <v>@chiccuelina</v>
      </c>
      <c r="C353" s="8" t="s">
        <v>1357</v>
      </c>
      <c r="D353" s="9" t="s">
        <v>1358</v>
      </c>
      <c r="E353" s="10" t="str">
        <f>HYPERLINK("https://twitter.com/chiccuelina/status/1071092829143924741","1071092829143924741")</f>
        <v>1071092829143924741</v>
      </c>
      <c r="F353" s="11"/>
      <c r="G353" s="11"/>
      <c r="H353" s="11"/>
      <c r="I353" s="12">
        <v>2</v>
      </c>
      <c r="J353" s="12">
        <v>3</v>
      </c>
      <c r="K353" s="13" t="str">
        <f>HYPERLINK("http://twitter.com/#!/download/ipad","Twitter for iPad")</f>
        <v>Twitter for iPad</v>
      </c>
      <c r="L353" s="12">
        <v>1823</v>
      </c>
      <c r="M353" s="12">
        <v>1932</v>
      </c>
      <c r="N353" s="12">
        <v>21</v>
      </c>
      <c r="O353" s="14"/>
      <c r="P353" s="6">
        <v>40638.409699074073</v>
      </c>
      <c r="Q353" s="15" t="s">
        <v>1359</v>
      </c>
      <c r="R353" s="17" t="s">
        <v>1360</v>
      </c>
      <c r="S353" s="11"/>
      <c r="T353" s="11"/>
      <c r="U353" s="10" t="str">
        <f>HYPERLINK("https://pbs.twimg.com/profile_images/1059161461212278785/RhS9_clZ.jpg","View")</f>
        <v>View</v>
      </c>
    </row>
    <row r="354" spans="1:21" ht="40.799999999999997">
      <c r="A354" s="6">
        <v>43441.762013888889</v>
      </c>
      <c r="B354" s="7" t="str">
        <f>HYPERLINK("https://twitter.com/quijoteysanchez","@quijoteysanchez")</f>
        <v>@quijoteysanchez</v>
      </c>
      <c r="C354" s="8" t="s">
        <v>1361</v>
      </c>
      <c r="D354" s="9" t="s">
        <v>1362</v>
      </c>
      <c r="E354" s="10" t="str">
        <f>HYPERLINK("https://twitter.com/quijoteysanchez/status/1071091291860160513","1071091291860160513")</f>
        <v>1071091291860160513</v>
      </c>
      <c r="F354" s="16" t="s">
        <v>1363</v>
      </c>
      <c r="G354" s="16" t="s">
        <v>1364</v>
      </c>
      <c r="H354" s="11"/>
      <c r="I354" s="12">
        <v>0</v>
      </c>
      <c r="J354" s="12">
        <v>0</v>
      </c>
      <c r="K354" s="13" t="str">
        <f t="shared" ref="K354:K355" si="101">HYPERLINK("http://twitter.com","Twitter Web Client")</f>
        <v>Twitter Web Client</v>
      </c>
      <c r="L354" s="12">
        <v>2722</v>
      </c>
      <c r="M354" s="12">
        <v>2587</v>
      </c>
      <c r="N354" s="12">
        <v>27</v>
      </c>
      <c r="O354" s="14"/>
      <c r="P354" s="6">
        <v>40588.89126157407</v>
      </c>
      <c r="Q354" s="15" t="s">
        <v>580</v>
      </c>
      <c r="R354" s="17" t="s">
        <v>1365</v>
      </c>
      <c r="S354" s="16" t="s">
        <v>1366</v>
      </c>
      <c r="T354" s="11"/>
      <c r="U354" s="10" t="str">
        <f>HYPERLINK("https://pbs.twimg.com/profile_images/1015582037011501056/VZ6oD2gl.jpg","View")</f>
        <v>View</v>
      </c>
    </row>
    <row r="355" spans="1:21" ht="132.6">
      <c r="A355" s="6">
        <v>43441.759259259255</v>
      </c>
      <c r="B355" s="7" t="str">
        <f>HYPERLINK("https://twitter.com/churiaque","@churiaque")</f>
        <v>@churiaque</v>
      </c>
      <c r="C355" s="8" t="s">
        <v>1367</v>
      </c>
      <c r="D355" s="9" t="s">
        <v>1368</v>
      </c>
      <c r="E355" s="10" t="str">
        <f>HYPERLINK("https://twitter.com/churiaque/status/1071090292579856384","1071090292579856384")</f>
        <v>1071090292579856384</v>
      </c>
      <c r="F355" s="16" t="s">
        <v>1369</v>
      </c>
      <c r="G355" s="16" t="s">
        <v>1370</v>
      </c>
      <c r="H355" s="11"/>
      <c r="I355" s="12">
        <v>1</v>
      </c>
      <c r="J355" s="12">
        <v>1</v>
      </c>
      <c r="K355" s="13" t="str">
        <f t="shared" si="101"/>
        <v>Twitter Web Client</v>
      </c>
      <c r="L355" s="12">
        <v>475</v>
      </c>
      <c r="M355" s="12">
        <v>894</v>
      </c>
      <c r="N355" s="12">
        <v>22</v>
      </c>
      <c r="O355" s="14"/>
      <c r="P355" s="6">
        <v>40126.81722222222</v>
      </c>
      <c r="Q355" s="15" t="s">
        <v>1371</v>
      </c>
      <c r="R355" s="17" t="s">
        <v>1372</v>
      </c>
      <c r="S355" s="11"/>
      <c r="T355" s="11"/>
      <c r="U355" s="10" t="str">
        <f>HYPERLINK("https://pbs.twimg.com/profile_images/927492117844373504/R3KdnKfA.jpg","View")</f>
        <v>View</v>
      </c>
    </row>
    <row r="356" spans="1:21" ht="51">
      <c r="A356" s="6">
        <v>43441.747337962966</v>
      </c>
      <c r="B356" s="7" t="str">
        <f>HYPERLINK("https://twitter.com/TetuanVox","@TetuanVox")</f>
        <v>@TetuanVox</v>
      </c>
      <c r="C356" s="8" t="s">
        <v>1373</v>
      </c>
      <c r="D356" s="9" t="s">
        <v>1374</v>
      </c>
      <c r="E356" s="10" t="str">
        <f>HYPERLINK("https://twitter.com/TetuanVox/status/1071085972035694593","1071085972035694593")</f>
        <v>1071085972035694593</v>
      </c>
      <c r="F356" s="11"/>
      <c r="G356" s="16" t="s">
        <v>1375</v>
      </c>
      <c r="H356" s="11"/>
      <c r="I356" s="12">
        <v>3</v>
      </c>
      <c r="J356" s="12">
        <v>4</v>
      </c>
      <c r="K356" s="13" t="str">
        <f>HYPERLINK("http://twitter.com/download/iphone","Twitter for iPhone")</f>
        <v>Twitter for iPhone</v>
      </c>
      <c r="L356" s="12">
        <v>116</v>
      </c>
      <c r="M356" s="12">
        <v>543</v>
      </c>
      <c r="N356" s="12">
        <v>1</v>
      </c>
      <c r="O356" s="14"/>
      <c r="P356" s="6">
        <v>43272.623807870375</v>
      </c>
      <c r="Q356" s="15" t="s">
        <v>185</v>
      </c>
      <c r="R356" s="17" t="s">
        <v>1376</v>
      </c>
      <c r="S356" s="16" t="s">
        <v>1377</v>
      </c>
      <c r="T356" s="11"/>
      <c r="U356" s="10" t="str">
        <f>HYPERLINK("https://pbs.twimg.com/profile_images/1009782984109674496/iXclrgDA.jpg","View")</f>
        <v>View</v>
      </c>
    </row>
    <row r="357" spans="1:21" ht="51">
      <c r="A357" s="6">
        <v>43441.747199074074</v>
      </c>
      <c r="B357" s="7" t="str">
        <f>HYPERLINK("https://twitter.com/franromga","@franromga")</f>
        <v>@franromga</v>
      </c>
      <c r="C357" s="8" t="s">
        <v>72</v>
      </c>
      <c r="D357" s="9" t="s">
        <v>1378</v>
      </c>
      <c r="E357" s="10" t="str">
        <f>HYPERLINK("https://twitter.com/franromga/status/1071085921121001472","1071085921121001472")</f>
        <v>1071085921121001472</v>
      </c>
      <c r="F357" s="11"/>
      <c r="G357" s="11"/>
      <c r="H357" s="11"/>
      <c r="I357" s="12">
        <v>1</v>
      </c>
      <c r="J357" s="12">
        <v>0</v>
      </c>
      <c r="K357" s="13" t="str">
        <f>HYPERLINK("http://twitter.com/download/android","Twitter for Android")</f>
        <v>Twitter for Android</v>
      </c>
      <c r="L357" s="12">
        <v>48</v>
      </c>
      <c r="M357" s="12">
        <v>194</v>
      </c>
      <c r="N357" s="12">
        <v>0</v>
      </c>
      <c r="O357" s="14"/>
      <c r="P357" s="6">
        <v>43065.94017361111</v>
      </c>
      <c r="Q357" s="11"/>
      <c r="R357" s="18"/>
      <c r="S357" s="11"/>
      <c r="T357" s="11"/>
      <c r="U357" s="10" t="str">
        <f>HYPERLINK("https://pbs.twimg.com/profile_images/1070050768923828225/nqdOIRAE.jpg","View")</f>
        <v>View</v>
      </c>
    </row>
    <row r="358" spans="1:21" ht="20.399999999999999">
      <c r="A358" s="6">
        <v>43441.744456018518</v>
      </c>
      <c r="B358" s="7" t="str">
        <f>HYPERLINK("https://twitter.com/lf_prieto","@lf_prieto")</f>
        <v>@lf_prieto</v>
      </c>
      <c r="C358" s="8" t="s">
        <v>1379</v>
      </c>
      <c r="D358" s="9" t="s">
        <v>1380</v>
      </c>
      <c r="E358" s="10" t="str">
        <f>HYPERLINK("https://twitter.com/lf_prieto/status/1071084927620448258","1071084927620448258")</f>
        <v>1071084927620448258</v>
      </c>
      <c r="F358" s="11"/>
      <c r="G358" s="11"/>
      <c r="H358" s="11"/>
      <c r="I358" s="12">
        <v>0</v>
      </c>
      <c r="J358" s="12">
        <v>2</v>
      </c>
      <c r="K358" s="13" t="str">
        <f t="shared" ref="K358:K359" si="102">HYPERLINK("http://twitter.com","Twitter Web Client")</f>
        <v>Twitter Web Client</v>
      </c>
      <c r="L358" s="12">
        <v>481</v>
      </c>
      <c r="M358" s="12">
        <v>544</v>
      </c>
      <c r="N358" s="12">
        <v>5</v>
      </c>
      <c r="O358" s="14"/>
      <c r="P358" s="6">
        <v>42157.079305555555</v>
      </c>
      <c r="Q358" s="15" t="s">
        <v>1381</v>
      </c>
      <c r="R358" s="17" t="s">
        <v>1382</v>
      </c>
      <c r="S358" s="16" t="s">
        <v>1383</v>
      </c>
      <c r="T358" s="11"/>
      <c r="U358" s="10" t="str">
        <f>HYPERLINK("https://pbs.twimg.com/profile_images/943316656977272832/kPnqIY5m.jpg","View")</f>
        <v>View</v>
      </c>
    </row>
    <row r="359" spans="1:21" ht="51">
      <c r="A359" s="6">
        <v>43441.744027777779</v>
      </c>
      <c r="B359" s="7" t="str">
        <f>HYPERLINK("https://twitter.com/MewSonriente","@MewSonriente")</f>
        <v>@MewSonriente</v>
      </c>
      <c r="C359" s="8" t="s">
        <v>1384</v>
      </c>
      <c r="D359" s="9" t="s">
        <v>1385</v>
      </c>
      <c r="E359" s="10" t="str">
        <f>HYPERLINK("https://twitter.com/MewSonriente/status/1071084775627255814","1071084775627255814")</f>
        <v>1071084775627255814</v>
      </c>
      <c r="F359" s="16" t="s">
        <v>969</v>
      </c>
      <c r="G359" s="11"/>
      <c r="H359" s="11"/>
      <c r="I359" s="12">
        <v>0</v>
      </c>
      <c r="J359" s="12">
        <v>0</v>
      </c>
      <c r="K359" s="13" t="str">
        <f t="shared" si="102"/>
        <v>Twitter Web Client</v>
      </c>
      <c r="L359" s="12">
        <v>153</v>
      </c>
      <c r="M359" s="12">
        <v>99</v>
      </c>
      <c r="N359" s="12">
        <v>1</v>
      </c>
      <c r="O359" s="14"/>
      <c r="P359" s="6">
        <v>43056.945833333331</v>
      </c>
      <c r="Q359" s="11"/>
      <c r="R359" s="17" t="s">
        <v>1386</v>
      </c>
      <c r="S359" s="11"/>
      <c r="T359" s="11"/>
      <c r="U359" s="10" t="str">
        <f>HYPERLINK("https://pbs.twimg.com/profile_images/1024739126657118208/Hh3PU7AY.jpg","View")</f>
        <v>View</v>
      </c>
    </row>
    <row r="360" spans="1:21" ht="51">
      <c r="A360" s="6">
        <v>43441.7419212963</v>
      </c>
      <c r="B360" s="7" t="str">
        <f>HYPERLINK("https://twitter.com/UlisesGamez10","@UlisesGamez10")</f>
        <v>@UlisesGamez10</v>
      </c>
      <c r="C360" s="8" t="s">
        <v>233</v>
      </c>
      <c r="D360" s="9" t="s">
        <v>1387</v>
      </c>
      <c r="E360" s="10" t="str">
        <f>HYPERLINK("https://twitter.com/UlisesGamez10/status/1071084011638927360","1071084011638927360")</f>
        <v>1071084011638927360</v>
      </c>
      <c r="F360" s="11"/>
      <c r="G360" s="11"/>
      <c r="H360" s="11"/>
      <c r="I360" s="12">
        <v>0</v>
      </c>
      <c r="J360" s="12">
        <v>1</v>
      </c>
      <c r="K360" s="13" t="str">
        <f t="shared" ref="K360:K365" si="103">HYPERLINK("http://twitter.com/download/android","Twitter for Android")</f>
        <v>Twitter for Android</v>
      </c>
      <c r="L360" s="12">
        <v>1184</v>
      </c>
      <c r="M360" s="12">
        <v>5002</v>
      </c>
      <c r="N360" s="12">
        <v>0</v>
      </c>
      <c r="O360" s="14"/>
      <c r="P360" s="6">
        <v>43190.59783564815</v>
      </c>
      <c r="Q360" s="15" t="s">
        <v>236</v>
      </c>
      <c r="R360" s="17" t="s">
        <v>237</v>
      </c>
      <c r="S360" s="11"/>
      <c r="T360" s="11"/>
      <c r="U360" s="10" t="str">
        <f>HYPERLINK("https://pbs.twimg.com/profile_images/1068881444196499456/MCgxp2WR.jpg","View")</f>
        <v>View</v>
      </c>
    </row>
    <row r="361" spans="1:21" ht="40.799999999999997">
      <c r="A361" s="6">
        <v>43441.741666666669</v>
      </c>
      <c r="B361" s="7" t="str">
        <f>HYPERLINK("https://twitter.com/alex_aramberri","@alex_aramberri")</f>
        <v>@alex_aramberri</v>
      </c>
      <c r="C361" s="8" t="s">
        <v>1388</v>
      </c>
      <c r="D361" s="9" t="s">
        <v>1389</v>
      </c>
      <c r="E361" s="10" t="str">
        <f>HYPERLINK("https://twitter.com/alex_aramberri/status/1071083919288737792","1071083919288737792")</f>
        <v>1071083919288737792</v>
      </c>
      <c r="F361" s="11"/>
      <c r="G361" s="16" t="s">
        <v>1390</v>
      </c>
      <c r="H361" s="11"/>
      <c r="I361" s="12">
        <v>1</v>
      </c>
      <c r="J361" s="12">
        <v>1</v>
      </c>
      <c r="K361" s="13" t="str">
        <f t="shared" si="103"/>
        <v>Twitter for Android</v>
      </c>
      <c r="L361" s="12">
        <v>127</v>
      </c>
      <c r="M361" s="12">
        <v>145</v>
      </c>
      <c r="N361" s="12">
        <v>0</v>
      </c>
      <c r="O361" s="14"/>
      <c r="P361" s="6">
        <v>42402.568090277782</v>
      </c>
      <c r="Q361" s="11"/>
      <c r="R361" s="18"/>
      <c r="S361" s="11"/>
      <c r="T361" s="11"/>
      <c r="U361" s="10" t="str">
        <f>HYPERLINK("https://pbs.twimg.com/profile_images/694520077551583233/y9kWAzt4.jpg","View")</f>
        <v>View</v>
      </c>
    </row>
    <row r="362" spans="1:21" ht="40.799999999999997">
      <c r="A362" s="6">
        <v>43441.740914351853</v>
      </c>
      <c r="B362" s="7" t="str">
        <f>HYPERLINK("https://twitter.com/Joshandrock","@Joshandrock")</f>
        <v>@Joshandrock</v>
      </c>
      <c r="C362" s="8" t="s">
        <v>1391</v>
      </c>
      <c r="D362" s="9" t="s">
        <v>1392</v>
      </c>
      <c r="E362" s="10" t="str">
        <f>HYPERLINK("https://twitter.com/Joshandrock/status/1071083645388156928","1071083645388156928")</f>
        <v>1071083645388156928</v>
      </c>
      <c r="F362" s="11"/>
      <c r="G362" s="16" t="s">
        <v>1393</v>
      </c>
      <c r="H362" s="11"/>
      <c r="I362" s="12">
        <v>0</v>
      </c>
      <c r="J362" s="12">
        <v>0</v>
      </c>
      <c r="K362" s="13" t="str">
        <f t="shared" si="103"/>
        <v>Twitter for Android</v>
      </c>
      <c r="L362" s="12">
        <v>188</v>
      </c>
      <c r="M362" s="12">
        <v>71</v>
      </c>
      <c r="N362" s="12">
        <v>1</v>
      </c>
      <c r="O362" s="14"/>
      <c r="P362" s="6">
        <v>40959.661759259259</v>
      </c>
      <c r="Q362" s="15" t="s">
        <v>1394</v>
      </c>
      <c r="R362" s="17" t="s">
        <v>1395</v>
      </c>
      <c r="S362" s="11"/>
      <c r="T362" s="11"/>
      <c r="U362" s="10" t="str">
        <f>HYPERLINK("https://pbs.twimg.com/profile_images/1069265441443508225/h1ouFe0z.jpg","View")</f>
        <v>View</v>
      </c>
    </row>
    <row r="363" spans="1:21" ht="102">
      <c r="A363" s="6">
        <v>43441.738078703704</v>
      </c>
      <c r="B363" s="7" t="str">
        <f>HYPERLINK("https://twitter.com/UlisesGamez10","@UlisesGamez10")</f>
        <v>@UlisesGamez10</v>
      </c>
      <c r="C363" s="8" t="s">
        <v>233</v>
      </c>
      <c r="D363" s="9" t="s">
        <v>1396</v>
      </c>
      <c r="E363" s="10" t="str">
        <f>HYPERLINK("https://twitter.com/UlisesGamez10/status/1071082618630955008","1071082618630955008")</f>
        <v>1071082618630955008</v>
      </c>
      <c r="F363" s="15" t="s">
        <v>1397</v>
      </c>
      <c r="G363" s="11"/>
      <c r="H363" s="11"/>
      <c r="I363" s="12">
        <v>1</v>
      </c>
      <c r="J363" s="12">
        <v>3</v>
      </c>
      <c r="K363" s="13" t="str">
        <f t="shared" si="103"/>
        <v>Twitter for Android</v>
      </c>
      <c r="L363" s="12">
        <v>1184</v>
      </c>
      <c r="M363" s="12">
        <v>5002</v>
      </c>
      <c r="N363" s="12">
        <v>0</v>
      </c>
      <c r="O363" s="14"/>
      <c r="P363" s="6">
        <v>43190.59783564815</v>
      </c>
      <c r="Q363" s="15" t="s">
        <v>236</v>
      </c>
      <c r="R363" s="17" t="s">
        <v>237</v>
      </c>
      <c r="S363" s="11"/>
      <c r="T363" s="11"/>
      <c r="U363" s="10" t="str">
        <f>HYPERLINK("https://pbs.twimg.com/profile_images/1068881444196499456/MCgxp2WR.jpg","View")</f>
        <v>View</v>
      </c>
    </row>
    <row r="364" spans="1:21" ht="51">
      <c r="A364" s="6">
        <v>43441.734027777777</v>
      </c>
      <c r="B364" s="7" t="str">
        <f>HYPERLINK("https://twitter.com/Atitelovoyadec5","@Atitelovoyadec5")</f>
        <v>@Atitelovoyadec5</v>
      </c>
      <c r="C364" s="8" t="s">
        <v>1398</v>
      </c>
      <c r="D364" s="9" t="s">
        <v>1399</v>
      </c>
      <c r="E364" s="10" t="str">
        <f>HYPERLINK("https://twitter.com/Atitelovoyadec5/status/1071081149655588864","1071081149655588864")</f>
        <v>1071081149655588864</v>
      </c>
      <c r="F364" s="11"/>
      <c r="G364" s="11"/>
      <c r="H364" s="11"/>
      <c r="I364" s="12">
        <v>0</v>
      </c>
      <c r="J364" s="12">
        <v>1</v>
      </c>
      <c r="K364" s="13" t="str">
        <f t="shared" si="103"/>
        <v>Twitter for Android</v>
      </c>
      <c r="L364" s="12">
        <v>57</v>
      </c>
      <c r="M364" s="12">
        <v>37</v>
      </c>
      <c r="N364" s="12">
        <v>0</v>
      </c>
      <c r="O364" s="14"/>
      <c r="P364" s="6">
        <v>42964.897523148145</v>
      </c>
      <c r="Q364" s="11"/>
      <c r="R364" s="18"/>
      <c r="S364" s="11"/>
      <c r="T364" s="11"/>
      <c r="U364" s="10" t="str">
        <f>HYPERLINK("https://pbs.twimg.com/profile_images/973158295354728449/pmBb8WC0.jpg","View")</f>
        <v>View</v>
      </c>
    </row>
    <row r="365" spans="1:21" ht="30.6">
      <c r="A365" s="6">
        <v>43441.733900462961</v>
      </c>
      <c r="B365" s="7" t="str">
        <f>HYPERLINK("https://twitter.com/Juanlopmoy","@Juanlopmoy")</f>
        <v>@Juanlopmoy</v>
      </c>
      <c r="C365" s="8" t="s">
        <v>1400</v>
      </c>
      <c r="D365" s="9" t="s">
        <v>1401</v>
      </c>
      <c r="E365" s="10" t="str">
        <f>HYPERLINK("https://twitter.com/Juanlopmoy/status/1071081103207923712","1071081103207923712")</f>
        <v>1071081103207923712</v>
      </c>
      <c r="F365" s="11"/>
      <c r="G365" s="11"/>
      <c r="H365" s="11"/>
      <c r="I365" s="12">
        <v>0</v>
      </c>
      <c r="J365" s="12">
        <v>0</v>
      </c>
      <c r="K365" s="13" t="str">
        <f t="shared" si="103"/>
        <v>Twitter for Android</v>
      </c>
      <c r="L365" s="12">
        <v>380</v>
      </c>
      <c r="M365" s="12">
        <v>276</v>
      </c>
      <c r="N365" s="12">
        <v>3</v>
      </c>
      <c r="O365" s="14"/>
      <c r="P365" s="6">
        <v>41098.446458333332</v>
      </c>
      <c r="Q365" s="15" t="s">
        <v>1402</v>
      </c>
      <c r="R365" s="17" t="s">
        <v>1403</v>
      </c>
      <c r="S365" s="11"/>
      <c r="T365" s="11"/>
      <c r="U365" s="10" t="str">
        <f>HYPERLINK("https://pbs.twimg.com/profile_images/818909255017361408/SOKDxjOL.jpg","View")</f>
        <v>View</v>
      </c>
    </row>
    <row r="366" spans="1:21" ht="20.399999999999999">
      <c r="A366" s="6">
        <v>43441.731770833328</v>
      </c>
      <c r="B366" s="7" t="str">
        <f>HYPERLINK("https://twitter.com/carapilss","@carapilss")</f>
        <v>@carapilss</v>
      </c>
      <c r="C366" s="8" t="s">
        <v>1404</v>
      </c>
      <c r="D366" s="9" t="s">
        <v>1405</v>
      </c>
      <c r="E366" s="10" t="str">
        <f>HYPERLINK("https://twitter.com/carapilss/status/1071080333158821889","1071080333158821889")</f>
        <v>1071080333158821889</v>
      </c>
      <c r="F366" s="11"/>
      <c r="G366" s="11"/>
      <c r="H366" s="11"/>
      <c r="I366" s="12">
        <v>0</v>
      </c>
      <c r="J366" s="12">
        <v>1</v>
      </c>
      <c r="K366" s="13" t="str">
        <f>HYPERLINK("https://mobile.twitter.com","Twitter Lite")</f>
        <v>Twitter Lite</v>
      </c>
      <c r="L366" s="12">
        <v>56</v>
      </c>
      <c r="M366" s="12">
        <v>288</v>
      </c>
      <c r="N366" s="12">
        <v>1</v>
      </c>
      <c r="O366" s="14"/>
      <c r="P366" s="6">
        <v>41899.05678240741</v>
      </c>
      <c r="Q366" s="15" t="s">
        <v>1406</v>
      </c>
      <c r="R366" s="17" t="s">
        <v>1407</v>
      </c>
      <c r="S366" s="11"/>
      <c r="T366" s="11"/>
      <c r="U366" s="10" t="str">
        <f>HYPERLINK("https://pbs.twimg.com/profile_images/659000530472169474/Zq_w1Isl.jpg","View")</f>
        <v>View</v>
      </c>
    </row>
    <row r="367" spans="1:21" ht="30.6">
      <c r="A367" s="6">
        <v>43441.729837962965</v>
      </c>
      <c r="B367" s="7" t="str">
        <f>HYPERLINK("https://twitter.com/TeodoroDelValle","@TeodoroDelValle")</f>
        <v>@TeodoroDelValle</v>
      </c>
      <c r="C367" s="8" t="s">
        <v>621</v>
      </c>
      <c r="D367" s="9" t="s">
        <v>1408</v>
      </c>
      <c r="E367" s="10" t="str">
        <f>HYPERLINK("https://twitter.com/TeodoroDelValle/status/1071079630042320896","1071079630042320896")</f>
        <v>1071079630042320896</v>
      </c>
      <c r="F367" s="16" t="s">
        <v>1409</v>
      </c>
      <c r="G367" s="11"/>
      <c r="H367" s="11"/>
      <c r="I367" s="12">
        <v>0</v>
      </c>
      <c r="J367" s="12">
        <v>0</v>
      </c>
      <c r="K367" s="13" t="str">
        <f>HYPERLINK("http://instagram.com","Instagram")</f>
        <v>Instagram</v>
      </c>
      <c r="L367" s="12">
        <v>560</v>
      </c>
      <c r="M367" s="12">
        <v>1454</v>
      </c>
      <c r="N367" s="12">
        <v>0</v>
      </c>
      <c r="O367" s="14"/>
      <c r="P367" s="6">
        <v>40678.782349537039</v>
      </c>
      <c r="Q367" s="15" t="s">
        <v>624</v>
      </c>
      <c r="R367" s="17" t="s">
        <v>625</v>
      </c>
      <c r="S367" s="16" t="s">
        <v>626</v>
      </c>
      <c r="T367" s="11"/>
      <c r="U367" s="10" t="str">
        <f>HYPERLINK("https://pbs.twimg.com/profile_images/1070365677297504256/4_lunmbm.jpg","View")</f>
        <v>View</v>
      </c>
    </row>
    <row r="368" spans="1:21" ht="51">
      <c r="A368" s="6">
        <v>43441.729525462964</v>
      </c>
      <c r="B368" s="7" t="str">
        <f>HYPERLINK("https://twitter.com/UlisesGamez10","@UlisesGamez10")</f>
        <v>@UlisesGamez10</v>
      </c>
      <c r="C368" s="8" t="s">
        <v>233</v>
      </c>
      <c r="D368" s="9" t="s">
        <v>1410</v>
      </c>
      <c r="E368" s="10" t="str">
        <f>HYPERLINK("https://twitter.com/UlisesGamez10/status/1071079517463240709","1071079517463240709")</f>
        <v>1071079517463240709</v>
      </c>
      <c r="F368" s="11"/>
      <c r="G368" s="11"/>
      <c r="H368" s="11"/>
      <c r="I368" s="12">
        <v>1</v>
      </c>
      <c r="J368" s="12">
        <v>1</v>
      </c>
      <c r="K368" s="13" t="str">
        <f t="shared" ref="K368:K372" si="104">HYPERLINK("http://twitter.com/download/android","Twitter for Android")</f>
        <v>Twitter for Android</v>
      </c>
      <c r="L368" s="12">
        <v>1184</v>
      </c>
      <c r="M368" s="12">
        <v>5002</v>
      </c>
      <c r="N368" s="12">
        <v>0</v>
      </c>
      <c r="O368" s="14"/>
      <c r="P368" s="6">
        <v>43190.59783564815</v>
      </c>
      <c r="Q368" s="15" t="s">
        <v>236</v>
      </c>
      <c r="R368" s="17" t="s">
        <v>237</v>
      </c>
      <c r="S368" s="11"/>
      <c r="T368" s="11"/>
      <c r="U368" s="10" t="str">
        <f>HYPERLINK("https://pbs.twimg.com/profile_images/1068881444196499456/MCgxp2WR.jpg","View")</f>
        <v>View</v>
      </c>
    </row>
    <row r="369" spans="1:21" ht="30.6">
      <c r="A369" s="6">
        <v>43441.728078703702</v>
      </c>
      <c r="B369" s="7" t="str">
        <f>HYPERLINK("https://twitter.com/Indiosingracia_","@Indiosingracia_")</f>
        <v>@Indiosingracia_</v>
      </c>
      <c r="C369" s="8" t="s">
        <v>1411</v>
      </c>
      <c r="D369" s="9" t="s">
        <v>1412</v>
      </c>
      <c r="E369" s="10" t="str">
        <f>HYPERLINK("https://twitter.com/Indiosingracia_/status/1071078991942029312","1071078991942029312")</f>
        <v>1071078991942029312</v>
      </c>
      <c r="F369" s="11"/>
      <c r="G369" s="16" t="s">
        <v>1413</v>
      </c>
      <c r="H369" s="11"/>
      <c r="I369" s="12">
        <v>0</v>
      </c>
      <c r="J369" s="12">
        <v>0</v>
      </c>
      <c r="K369" s="13" t="str">
        <f t="shared" si="104"/>
        <v>Twitter for Android</v>
      </c>
      <c r="L369" s="12">
        <v>6</v>
      </c>
      <c r="M369" s="12">
        <v>18</v>
      </c>
      <c r="N369" s="12">
        <v>0</v>
      </c>
      <c r="O369" s="14"/>
      <c r="P369" s="6">
        <v>43438.760497685187</v>
      </c>
      <c r="Q369" s="11"/>
      <c r="R369" s="17" t="s">
        <v>1414</v>
      </c>
      <c r="S369" s="11"/>
      <c r="T369" s="11"/>
      <c r="U369" s="10" t="str">
        <f>HYPERLINK("https://pbs.twimg.com/profile_images/1070006443485614080/t9b0OqZv.jpg","View")</f>
        <v>View</v>
      </c>
    </row>
    <row r="370" spans="1:21" ht="51">
      <c r="A370" s="6">
        <v>43441.727696759262</v>
      </c>
      <c r="B370" s="7" t="str">
        <f t="shared" ref="B370:B371" si="105">HYPERLINK("https://twitter.com/UlisesGamez10","@UlisesGamez10")</f>
        <v>@UlisesGamez10</v>
      </c>
      <c r="C370" s="8" t="s">
        <v>233</v>
      </c>
      <c r="D370" s="9" t="s">
        <v>1415</v>
      </c>
      <c r="E370" s="10" t="str">
        <f>HYPERLINK("https://twitter.com/UlisesGamez10/status/1071078855358771200","1071078855358771200")</f>
        <v>1071078855358771200</v>
      </c>
      <c r="F370" s="11"/>
      <c r="G370" s="16" t="s">
        <v>1416</v>
      </c>
      <c r="H370" s="11"/>
      <c r="I370" s="12">
        <v>0</v>
      </c>
      <c r="J370" s="12">
        <v>0</v>
      </c>
      <c r="K370" s="13" t="str">
        <f t="shared" si="104"/>
        <v>Twitter for Android</v>
      </c>
      <c r="L370" s="12">
        <v>1184</v>
      </c>
      <c r="M370" s="12">
        <v>5002</v>
      </c>
      <c r="N370" s="12">
        <v>0</v>
      </c>
      <c r="O370" s="14"/>
      <c r="P370" s="6">
        <v>43190.59783564815</v>
      </c>
      <c r="Q370" s="15" t="s">
        <v>236</v>
      </c>
      <c r="R370" s="17" t="s">
        <v>237</v>
      </c>
      <c r="S370" s="11"/>
      <c r="T370" s="11"/>
      <c r="U370" s="10" t="str">
        <f t="shared" ref="U370:U371" si="106">HYPERLINK("https://pbs.twimg.com/profile_images/1068881444196499456/MCgxp2WR.jpg","View")</f>
        <v>View</v>
      </c>
    </row>
    <row r="371" spans="1:21" ht="51">
      <c r="A371" s="6">
        <v>43441.72625</v>
      </c>
      <c r="B371" s="7" t="str">
        <f t="shared" si="105"/>
        <v>@UlisesGamez10</v>
      </c>
      <c r="C371" s="8" t="s">
        <v>233</v>
      </c>
      <c r="D371" s="9" t="s">
        <v>1417</v>
      </c>
      <c r="E371" s="10" t="str">
        <f>HYPERLINK("https://twitter.com/UlisesGamez10/status/1071078330252824576","1071078330252824576")</f>
        <v>1071078330252824576</v>
      </c>
      <c r="F371" s="11"/>
      <c r="G371" s="16" t="s">
        <v>1418</v>
      </c>
      <c r="H371" s="11"/>
      <c r="I371" s="12">
        <v>0</v>
      </c>
      <c r="J371" s="12">
        <v>0</v>
      </c>
      <c r="K371" s="13" t="str">
        <f t="shared" si="104"/>
        <v>Twitter for Android</v>
      </c>
      <c r="L371" s="12">
        <v>1184</v>
      </c>
      <c r="M371" s="12">
        <v>5002</v>
      </c>
      <c r="N371" s="12">
        <v>0</v>
      </c>
      <c r="O371" s="14"/>
      <c r="P371" s="6">
        <v>43190.59783564815</v>
      </c>
      <c r="Q371" s="15" t="s">
        <v>236</v>
      </c>
      <c r="R371" s="17" t="s">
        <v>237</v>
      </c>
      <c r="S371" s="11"/>
      <c r="T371" s="11"/>
      <c r="U371" s="10" t="str">
        <f t="shared" si="106"/>
        <v>View</v>
      </c>
    </row>
    <row r="372" spans="1:21" ht="40.799999999999997">
      <c r="A372" s="6">
        <v>43441.724259259259</v>
      </c>
      <c r="B372" s="7" t="str">
        <f>HYPERLINK("https://twitter.com/Puyazo2","@Puyazo2")</f>
        <v>@Puyazo2</v>
      </c>
      <c r="C372" s="8" t="s">
        <v>846</v>
      </c>
      <c r="D372" s="9" t="s">
        <v>1419</v>
      </c>
      <c r="E372" s="10" t="str">
        <f>HYPERLINK("https://twitter.com/Puyazo2/status/1071077610023739393","1071077610023739393")</f>
        <v>1071077610023739393</v>
      </c>
      <c r="F372" s="11"/>
      <c r="G372" s="16" t="s">
        <v>1420</v>
      </c>
      <c r="H372" s="11"/>
      <c r="I372" s="12">
        <v>50</v>
      </c>
      <c r="J372" s="12">
        <v>50</v>
      </c>
      <c r="K372" s="13" t="str">
        <f t="shared" si="104"/>
        <v>Twitter for Android</v>
      </c>
      <c r="L372" s="12">
        <v>1752</v>
      </c>
      <c r="M372" s="12">
        <v>1621</v>
      </c>
      <c r="N372" s="12">
        <v>2</v>
      </c>
      <c r="O372" s="14"/>
      <c r="P372" s="6">
        <v>43404.664039351846</v>
      </c>
      <c r="Q372" s="15" t="s">
        <v>197</v>
      </c>
      <c r="R372" s="17" t="s">
        <v>848</v>
      </c>
      <c r="S372" s="11"/>
      <c r="T372" s="11"/>
      <c r="U372" s="10" t="str">
        <f>HYPERLINK("https://pbs.twimg.com/profile_images/1057648510265372672/oAEa8M9d.jpg","View")</f>
        <v>View</v>
      </c>
    </row>
    <row r="373" spans="1:21" ht="30.6">
      <c r="A373" s="6">
        <v>43441.723854166667</v>
      </c>
      <c r="B373" s="7" t="str">
        <f>HYPERLINK("https://twitter.com/COPE","@COPE")</f>
        <v>@COPE</v>
      </c>
      <c r="C373" s="8" t="s">
        <v>1421</v>
      </c>
      <c r="D373" s="9" t="s">
        <v>1422</v>
      </c>
      <c r="E373" s="10" t="str">
        <f>HYPERLINK("https://twitter.com/COPE/status/1071077461893484544","1071077461893484544")</f>
        <v>1071077461893484544</v>
      </c>
      <c r="F373" s="16" t="s">
        <v>1423</v>
      </c>
      <c r="G373" s="11"/>
      <c r="H373" s="11"/>
      <c r="I373" s="12">
        <v>27</v>
      </c>
      <c r="J373" s="12">
        <v>18</v>
      </c>
      <c r="K373" s="13" t="str">
        <f>HYPERLINK("http://dogtrack.es","DogTrack_Oficial")</f>
        <v>DogTrack_Oficial</v>
      </c>
      <c r="L373" s="12">
        <v>354194</v>
      </c>
      <c r="M373" s="12">
        <v>150</v>
      </c>
      <c r="N373" s="12">
        <v>3095</v>
      </c>
      <c r="O373" s="23" t="s">
        <v>89</v>
      </c>
      <c r="P373" s="6">
        <v>39381.538321759261</v>
      </c>
      <c r="Q373" s="15" t="s">
        <v>185</v>
      </c>
      <c r="R373" s="17" t="s">
        <v>1424</v>
      </c>
      <c r="S373" s="16" t="s">
        <v>1425</v>
      </c>
      <c r="T373" s="11"/>
      <c r="U373" s="10" t="str">
        <f>HYPERLINK("https://pbs.twimg.com/profile_images/1063097716031533059/yAe1j-56.jpg","View")</f>
        <v>View</v>
      </c>
    </row>
    <row r="374" spans="1:21" ht="20.399999999999999">
      <c r="A374" s="6">
        <v>43441.722430555557</v>
      </c>
      <c r="B374" s="7" t="str">
        <f>HYPERLINK("https://twitter.com/LAREVUELO53","@LAREVUELO53")</f>
        <v>@LAREVUELO53</v>
      </c>
      <c r="C374" s="8" t="s">
        <v>1426</v>
      </c>
      <c r="D374" s="9" t="s">
        <v>1427</v>
      </c>
      <c r="E374" s="10" t="str">
        <f>HYPERLINK("https://twitter.com/LAREVUELO53/status/1071076948334600193","1071076948334600193")</f>
        <v>1071076948334600193</v>
      </c>
      <c r="F374" s="16" t="s">
        <v>1428</v>
      </c>
      <c r="G374" s="11"/>
      <c r="H374" s="11"/>
      <c r="I374" s="12">
        <v>0</v>
      </c>
      <c r="J374" s="12">
        <v>0</v>
      </c>
      <c r="K374" s="13" t="str">
        <f>HYPERLINK("http://twitter.com","Twitter Web Client")</f>
        <v>Twitter Web Client</v>
      </c>
      <c r="L374" s="12">
        <v>415</v>
      </c>
      <c r="M374" s="12">
        <v>1519</v>
      </c>
      <c r="N374" s="12">
        <v>4</v>
      </c>
      <c r="O374" s="14"/>
      <c r="P374" s="6">
        <v>40681.9059375</v>
      </c>
      <c r="Q374" s="15" t="s">
        <v>1429</v>
      </c>
      <c r="R374" s="18"/>
      <c r="S374" s="16" t="s">
        <v>1430</v>
      </c>
      <c r="T374" s="11"/>
      <c r="U374" s="10" t="str">
        <f>HYPERLINK("https://pbs.twimg.com/profile_images/719705597436960769/UB_JVe0J.jpg","View")</f>
        <v>View</v>
      </c>
    </row>
    <row r="375" spans="1:21" ht="51">
      <c r="A375" s="6">
        <v>43441.722326388888</v>
      </c>
      <c r="B375" s="7" t="str">
        <f>HYPERLINK("https://twitter.com/SergiogmSergio","@SergiogmSergio")</f>
        <v>@SergiogmSergio</v>
      </c>
      <c r="C375" s="8" t="s">
        <v>1431</v>
      </c>
      <c r="D375" s="9" t="s">
        <v>1432</v>
      </c>
      <c r="E375" s="10" t="str">
        <f>HYPERLINK("https://twitter.com/SergiogmSergio/status/1071076909226885127","1071076909226885127")</f>
        <v>1071076909226885127</v>
      </c>
      <c r="F375" s="16" t="s">
        <v>1433</v>
      </c>
      <c r="G375" s="16" t="s">
        <v>1434</v>
      </c>
      <c r="H375" s="11"/>
      <c r="I375" s="12">
        <v>2</v>
      </c>
      <c r="J375" s="12">
        <v>6</v>
      </c>
      <c r="K375" s="13" t="str">
        <f>HYPERLINK("http://twitter.com/download/iphone","Twitter for iPhone")</f>
        <v>Twitter for iPhone</v>
      </c>
      <c r="L375" s="12">
        <v>154</v>
      </c>
      <c r="M375" s="12">
        <v>345</v>
      </c>
      <c r="N375" s="12">
        <v>0</v>
      </c>
      <c r="O375" s="14"/>
      <c r="P375" s="6">
        <v>42071.631851851853</v>
      </c>
      <c r="Q375" s="11"/>
      <c r="R375" s="17" t="s">
        <v>1435</v>
      </c>
      <c r="S375" s="11"/>
      <c r="T375" s="11"/>
      <c r="U375" s="10" t="str">
        <f>HYPERLINK("https://pbs.twimg.com/profile_images/759914683843252224/gGYuI175.jpg","View")</f>
        <v>View</v>
      </c>
    </row>
    <row r="376" spans="1:21" ht="51">
      <c r="A376" s="6">
        <v>43441.719953703709</v>
      </c>
      <c r="B376" s="7" t="str">
        <f>HYPERLINK("https://twitter.com/Kamikaze_1979","@Kamikaze_1979")</f>
        <v>@Kamikaze_1979</v>
      </c>
      <c r="C376" s="8" t="s">
        <v>1436</v>
      </c>
      <c r="D376" s="9" t="s">
        <v>1437</v>
      </c>
      <c r="E376" s="10" t="str">
        <f>HYPERLINK("https://twitter.com/Kamikaze_1979/status/1071076048035557378","1071076048035557378")</f>
        <v>1071076048035557378</v>
      </c>
      <c r="F376" s="16" t="s">
        <v>1438</v>
      </c>
      <c r="G376" s="16" t="s">
        <v>1439</v>
      </c>
      <c r="H376" s="11"/>
      <c r="I376" s="12">
        <v>67</v>
      </c>
      <c r="J376" s="12">
        <v>74</v>
      </c>
      <c r="K376" s="13" t="str">
        <f>HYPERLINK("http://twitter.com","Twitter Web Client")</f>
        <v>Twitter Web Client</v>
      </c>
      <c r="L376" s="12">
        <v>2286</v>
      </c>
      <c r="M376" s="12">
        <v>4376</v>
      </c>
      <c r="N376" s="12">
        <v>3</v>
      </c>
      <c r="O376" s="14"/>
      <c r="P376" s="6">
        <v>41300.544317129628</v>
      </c>
      <c r="Q376" s="15" t="s">
        <v>1440</v>
      </c>
      <c r="R376" s="17" t="s">
        <v>1441</v>
      </c>
      <c r="S376" s="11"/>
      <c r="T376" s="11"/>
      <c r="U376" s="10" t="str">
        <f>HYPERLINK("https://pbs.twimg.com/profile_images/959511746888241153/YHl0tzzf.jpg","View")</f>
        <v>View</v>
      </c>
    </row>
    <row r="377" spans="1:21" ht="20.399999999999999">
      <c r="A377" s="6">
        <v>43441.71980324074</v>
      </c>
      <c r="B377" s="7" t="str">
        <f t="shared" ref="B377:B378" si="107">HYPERLINK("https://twitter.com/pandugar","@pandugar")</f>
        <v>@pandugar</v>
      </c>
      <c r="C377" s="8" t="s">
        <v>1442</v>
      </c>
      <c r="D377" s="9" t="s">
        <v>1443</v>
      </c>
      <c r="E377" s="10" t="str">
        <f>HYPERLINK("https://twitter.com/pandugar/status/1071075995019563008","1071075995019563008")</f>
        <v>1071075995019563008</v>
      </c>
      <c r="F377" s="11"/>
      <c r="G377" s="16" t="s">
        <v>1444</v>
      </c>
      <c r="H377" s="11"/>
      <c r="I377" s="12">
        <v>0</v>
      </c>
      <c r="J377" s="12">
        <v>0</v>
      </c>
      <c r="K377" s="13" t="str">
        <f t="shared" ref="K377:K378" si="108">HYPERLINK("https://mobile.twitter.com","Twitter Lite")</f>
        <v>Twitter Lite</v>
      </c>
      <c r="L377" s="12">
        <v>5659</v>
      </c>
      <c r="M377" s="12">
        <v>2659</v>
      </c>
      <c r="N377" s="12">
        <v>177</v>
      </c>
      <c r="O377" s="14"/>
      <c r="P377" s="6">
        <v>40235.372777777782</v>
      </c>
      <c r="Q377" s="15" t="s">
        <v>1445</v>
      </c>
      <c r="R377" s="17" t="s">
        <v>1446</v>
      </c>
      <c r="S377" s="11"/>
      <c r="T377" s="11"/>
      <c r="U377" s="10" t="str">
        <f t="shared" ref="U377:U378" si="109">HYPERLINK("https://pbs.twimg.com/profile_images/1067074599467261952/ybvoSv8v.jpg","View")</f>
        <v>View</v>
      </c>
    </row>
    <row r="378" spans="1:21" ht="40.799999999999997">
      <c r="A378" s="6">
        <v>43441.718240740738</v>
      </c>
      <c r="B378" s="7" t="str">
        <f t="shared" si="107"/>
        <v>@pandugar</v>
      </c>
      <c r="C378" s="8" t="s">
        <v>1442</v>
      </c>
      <c r="D378" s="9" t="s">
        <v>1447</v>
      </c>
      <c r="E378" s="10" t="str">
        <f>HYPERLINK("https://twitter.com/pandugar/status/1071075428692094977","1071075428692094977")</f>
        <v>1071075428692094977</v>
      </c>
      <c r="F378" s="11"/>
      <c r="G378" s="11"/>
      <c r="H378" s="11"/>
      <c r="I378" s="12">
        <v>0</v>
      </c>
      <c r="J378" s="12">
        <v>0</v>
      </c>
      <c r="K378" s="13" t="str">
        <f t="shared" si="108"/>
        <v>Twitter Lite</v>
      </c>
      <c r="L378" s="12">
        <v>5659</v>
      </c>
      <c r="M378" s="12">
        <v>2659</v>
      </c>
      <c r="N378" s="12">
        <v>177</v>
      </c>
      <c r="O378" s="14"/>
      <c r="P378" s="6">
        <v>40235.372777777782</v>
      </c>
      <c r="Q378" s="15" t="s">
        <v>1445</v>
      </c>
      <c r="R378" s="17" t="s">
        <v>1446</v>
      </c>
      <c r="S378" s="11"/>
      <c r="T378" s="11"/>
      <c r="U378" s="10" t="str">
        <f t="shared" si="109"/>
        <v>View</v>
      </c>
    </row>
    <row r="379" spans="1:21" ht="20.399999999999999">
      <c r="A379" s="6">
        <v>43441.714953703704</v>
      </c>
      <c r="B379" s="7" t="str">
        <f>HYPERLINK("https://twitter.com/sana656","@sana656")</f>
        <v>@sana656</v>
      </c>
      <c r="C379" s="8" t="s">
        <v>1448</v>
      </c>
      <c r="D379" s="9" t="s">
        <v>1449</v>
      </c>
      <c r="E379" s="10" t="str">
        <f>HYPERLINK("https://twitter.com/sana656/status/1071074237014786048","1071074237014786048")</f>
        <v>1071074237014786048</v>
      </c>
      <c r="F379" s="16" t="s">
        <v>778</v>
      </c>
      <c r="G379" s="11"/>
      <c r="H379" s="11"/>
      <c r="I379" s="12">
        <v>1</v>
      </c>
      <c r="J379" s="12">
        <v>0</v>
      </c>
      <c r="K379" s="13" t="str">
        <f>HYPERLINK("http://twitter.com","Twitter Web Client")</f>
        <v>Twitter Web Client</v>
      </c>
      <c r="L379" s="12">
        <v>224</v>
      </c>
      <c r="M379" s="12">
        <v>344</v>
      </c>
      <c r="N379" s="12">
        <v>2</v>
      </c>
      <c r="O379" s="14"/>
      <c r="P379" s="6">
        <v>40883.666250000002</v>
      </c>
      <c r="Q379" s="15" t="s">
        <v>1450</v>
      </c>
      <c r="R379" s="18"/>
      <c r="S379" s="11"/>
      <c r="T379" s="11"/>
      <c r="U379" s="10" t="str">
        <f>HYPERLINK("https://pbs.twimg.com/profile_images/606189793890942976/r8Drv7i5.jpg","View")</f>
        <v>View</v>
      </c>
    </row>
    <row r="380" spans="1:21" ht="20.399999999999999">
      <c r="A380" s="6">
        <v>43441.713449074072</v>
      </c>
      <c r="B380" s="7" t="str">
        <f>HYPERLINK("https://twitter.com/__keko009__","@__keko009__")</f>
        <v>@__keko009__</v>
      </c>
      <c r="C380" s="8" t="s">
        <v>1451</v>
      </c>
      <c r="D380" s="9" t="s">
        <v>1452</v>
      </c>
      <c r="E380" s="10" t="str">
        <f>HYPERLINK("https://twitter.com/__keko009__/status/1071073691310669824","1071073691310669824")</f>
        <v>1071073691310669824</v>
      </c>
      <c r="F380" s="11"/>
      <c r="G380" s="16" t="s">
        <v>1453</v>
      </c>
      <c r="H380" s="11"/>
      <c r="I380" s="12">
        <v>0</v>
      </c>
      <c r="J380" s="12">
        <v>0</v>
      </c>
      <c r="K380" s="13" t="str">
        <f>HYPERLINK("http://twitter.com/download/android","Twitter for Android")</f>
        <v>Twitter for Android</v>
      </c>
      <c r="L380" s="12">
        <v>159</v>
      </c>
      <c r="M380" s="12">
        <v>296</v>
      </c>
      <c r="N380" s="12">
        <v>0</v>
      </c>
      <c r="O380" s="14"/>
      <c r="P380" s="6">
        <v>43169.96702546296</v>
      </c>
      <c r="Q380" s="15" t="s">
        <v>240</v>
      </c>
      <c r="R380" s="18"/>
      <c r="S380" s="11"/>
      <c r="T380" s="11"/>
      <c r="U380" s="10" t="str">
        <f>HYPERLINK("https://pbs.twimg.com/profile_images/985289311896657921/esu-kQ7L.jpg","View")</f>
        <v>View</v>
      </c>
    </row>
    <row r="381" spans="1:21" ht="40.799999999999997">
      <c r="A381" s="6">
        <v>43441.708078703705</v>
      </c>
      <c r="B381" s="7" t="str">
        <f>HYPERLINK("https://twitter.com/rubenlopezzlobo","@rubenlopezzlobo")</f>
        <v>@rubenlopezzlobo</v>
      </c>
      <c r="C381" s="8" t="s">
        <v>1454</v>
      </c>
      <c r="D381" s="9" t="s">
        <v>1455</v>
      </c>
      <c r="E381" s="10" t="str">
        <f>HYPERLINK("https://twitter.com/rubenlopezzlobo/status/1071071746764259329","1071071746764259329")</f>
        <v>1071071746764259329</v>
      </c>
      <c r="F381" s="16" t="s">
        <v>1456</v>
      </c>
      <c r="G381" s="11"/>
      <c r="H381" s="11"/>
      <c r="I381" s="12">
        <v>0</v>
      </c>
      <c r="J381" s="12">
        <v>0</v>
      </c>
      <c r="K381" s="13" t="str">
        <f>HYPERLINK("http://twitter.com","Twitter Web Client")</f>
        <v>Twitter Web Client</v>
      </c>
      <c r="L381" s="12">
        <v>346</v>
      </c>
      <c r="M381" s="12">
        <v>206</v>
      </c>
      <c r="N381" s="12">
        <v>1</v>
      </c>
      <c r="O381" s="14"/>
      <c r="P381" s="6">
        <v>41829.959513888891</v>
      </c>
      <c r="Q381" s="15" t="s">
        <v>1457</v>
      </c>
      <c r="R381" s="17" t="s">
        <v>1458</v>
      </c>
      <c r="S381" s="11"/>
      <c r="T381" s="11"/>
      <c r="U381" s="10" t="str">
        <f>HYPERLINK("https://pbs.twimg.com/profile_images/666573411687206912/RLnzdhPw.jpg","View")</f>
        <v>View</v>
      </c>
    </row>
    <row r="382" spans="1:21" ht="30.6">
      <c r="A382" s="6">
        <v>43441.707928240736</v>
      </c>
      <c r="B382" s="7" t="str">
        <f>HYPERLINK("https://twitter.com/TeodoroDelValle","@TeodoroDelValle")</f>
        <v>@TeodoroDelValle</v>
      </c>
      <c r="C382" s="8" t="s">
        <v>621</v>
      </c>
      <c r="D382" s="9" t="s">
        <v>1459</v>
      </c>
      <c r="E382" s="10" t="str">
        <f>HYPERLINK("https://twitter.com/TeodoroDelValle/status/1071071692154376194","1071071692154376194")</f>
        <v>1071071692154376194</v>
      </c>
      <c r="F382" s="16" t="s">
        <v>1460</v>
      </c>
      <c r="G382" s="11"/>
      <c r="H382" s="11"/>
      <c r="I382" s="12">
        <v>0</v>
      </c>
      <c r="J382" s="12">
        <v>0</v>
      </c>
      <c r="K382" s="13" t="str">
        <f>HYPERLINK("http://instagram.com","Instagram")</f>
        <v>Instagram</v>
      </c>
      <c r="L382" s="12">
        <v>560</v>
      </c>
      <c r="M382" s="12">
        <v>1454</v>
      </c>
      <c r="N382" s="12">
        <v>0</v>
      </c>
      <c r="O382" s="14"/>
      <c r="P382" s="6">
        <v>40678.782349537039</v>
      </c>
      <c r="Q382" s="15" t="s">
        <v>624</v>
      </c>
      <c r="R382" s="17" t="s">
        <v>625</v>
      </c>
      <c r="S382" s="16" t="s">
        <v>626</v>
      </c>
      <c r="T382" s="11"/>
      <c r="U382" s="10" t="str">
        <f>HYPERLINK("https://pbs.twimg.com/profile_images/1070365677297504256/4_lunmbm.jpg","View")</f>
        <v>View</v>
      </c>
    </row>
    <row r="383" spans="1:21" ht="30.6">
      <c r="A383" s="6">
        <v>43441.70789351852</v>
      </c>
      <c r="B383" s="7" t="str">
        <f>HYPERLINK("https://twitter.com/David_Churruca","@David_Churruca")</f>
        <v>@David_Churruca</v>
      </c>
      <c r="C383" s="8" t="s">
        <v>1461</v>
      </c>
      <c r="D383" s="9" t="s">
        <v>1462</v>
      </c>
      <c r="E383" s="10" t="str">
        <f>HYPERLINK("https://twitter.com/David_Churruca/status/1071071680649420800","1071071680649420800")</f>
        <v>1071071680649420800</v>
      </c>
      <c r="F383" s="16" t="s">
        <v>1463</v>
      </c>
      <c r="G383" s="11"/>
      <c r="H383" s="11"/>
      <c r="I383" s="12">
        <v>1</v>
      </c>
      <c r="J383" s="12">
        <v>3</v>
      </c>
      <c r="K383" s="13" t="str">
        <f>HYPERLINK("http://twitter.com/download/android","Twitter for Android")</f>
        <v>Twitter for Android</v>
      </c>
      <c r="L383" s="12">
        <v>377</v>
      </c>
      <c r="M383" s="12">
        <v>441</v>
      </c>
      <c r="N383" s="12">
        <v>3</v>
      </c>
      <c r="O383" s="14"/>
      <c r="P383" s="6">
        <v>43258.999618055561</v>
      </c>
      <c r="Q383" s="15" t="s">
        <v>197</v>
      </c>
      <c r="R383" s="17" t="s">
        <v>1464</v>
      </c>
      <c r="S383" s="11"/>
      <c r="T383" s="11"/>
      <c r="U383" s="10" t="str">
        <f>HYPERLINK("https://pbs.twimg.com/profile_images/1022603891156938752/4x4GKuno.jpg","View")</f>
        <v>View</v>
      </c>
    </row>
    <row r="384" spans="1:21" ht="40.799999999999997">
      <c r="A384" s="6">
        <v>43441.703009259261</v>
      </c>
      <c r="B384" s="7" t="str">
        <f>HYPERLINK("https://twitter.com/Lucia90647951","@Lucia90647951")</f>
        <v>@Lucia90647951</v>
      </c>
      <c r="C384" s="8" t="s">
        <v>1465</v>
      </c>
      <c r="D384" s="9" t="s">
        <v>1466</v>
      </c>
      <c r="E384" s="10" t="str">
        <f>HYPERLINK("https://twitter.com/Lucia90647951/status/1071069909273194497","1071069909273194497")</f>
        <v>1071069909273194497</v>
      </c>
      <c r="F384" s="15" t="s">
        <v>1174</v>
      </c>
      <c r="G384" s="11"/>
      <c r="H384" s="11"/>
      <c r="I384" s="12">
        <v>0</v>
      </c>
      <c r="J384" s="12">
        <v>0</v>
      </c>
      <c r="K384" s="13" t="str">
        <f>HYPERLINK("http://twitter.com/download/iphone","Twitter for iPhone")</f>
        <v>Twitter for iPhone</v>
      </c>
      <c r="L384" s="12">
        <v>132</v>
      </c>
      <c r="M384" s="12">
        <v>300</v>
      </c>
      <c r="N384" s="12">
        <v>0</v>
      </c>
      <c r="O384" s="14"/>
      <c r="P384" s="6">
        <v>43384.95612268518</v>
      </c>
      <c r="Q384" s="11"/>
      <c r="R384" s="17" t="s">
        <v>1467</v>
      </c>
      <c r="S384" s="11"/>
      <c r="T384" s="11"/>
      <c r="U384" s="10" t="str">
        <f>HYPERLINK("https://pbs.twimg.com/profile_images/1050493441669562368/LLmfSs9m.jpg","View")</f>
        <v>View</v>
      </c>
    </row>
    <row r="385" spans="1:21" ht="40.799999999999997">
      <c r="A385" s="6">
        <v>43441.701099537036</v>
      </c>
      <c r="B385" s="7" t="str">
        <f>HYPERLINK("https://twitter.com/davnav23","@davnav23")</f>
        <v>@davnav23</v>
      </c>
      <c r="C385" s="8" t="s">
        <v>1468</v>
      </c>
      <c r="D385" s="9" t="s">
        <v>1469</v>
      </c>
      <c r="E385" s="10" t="str">
        <f>HYPERLINK("https://twitter.com/davnav23/status/1071069214943928322","1071069214943928322")</f>
        <v>1071069214943928322</v>
      </c>
      <c r="F385" s="11"/>
      <c r="G385" s="11"/>
      <c r="H385" s="11"/>
      <c r="I385" s="12">
        <v>0</v>
      </c>
      <c r="J385" s="12">
        <v>0</v>
      </c>
      <c r="K385" s="13" t="str">
        <f>HYPERLINK("http://twitter.com/download/android","Twitter for Android")</f>
        <v>Twitter for Android</v>
      </c>
      <c r="L385" s="12">
        <v>165</v>
      </c>
      <c r="M385" s="12">
        <v>450</v>
      </c>
      <c r="N385" s="12">
        <v>1</v>
      </c>
      <c r="O385" s="14"/>
      <c r="P385" s="6">
        <v>43369.372395833328</v>
      </c>
      <c r="Q385" s="15" t="s">
        <v>1470</v>
      </c>
      <c r="R385" s="17" t="s">
        <v>1471</v>
      </c>
      <c r="S385" s="16" t="s">
        <v>1472</v>
      </c>
      <c r="T385" s="11"/>
      <c r="U385" s="10" t="str">
        <f>HYPERLINK("https://pbs.twimg.com/profile_images/1044844594943467520/XQg_frhv.jpg","View")</f>
        <v>View</v>
      </c>
    </row>
    <row r="386" spans="1:21" ht="91.8">
      <c r="A386" s="6">
        <v>43441.700914351852</v>
      </c>
      <c r="B386" s="7" t="str">
        <f>HYPERLINK("https://twitter.com/marxismus_Verum","@marxismus_Verum")</f>
        <v>@marxismus_Verum</v>
      </c>
      <c r="C386" s="8" t="s">
        <v>1473</v>
      </c>
      <c r="D386" s="9" t="s">
        <v>1474</v>
      </c>
      <c r="E386" s="10" t="str">
        <f>HYPERLINK("https://twitter.com/marxismus_Verum/status/1071069148220936193","1071069148220936193")</f>
        <v>1071069148220936193</v>
      </c>
      <c r="F386" s="16" t="s">
        <v>1475</v>
      </c>
      <c r="G386" s="16" t="s">
        <v>1476</v>
      </c>
      <c r="H386" s="11"/>
      <c r="I386" s="12">
        <v>0</v>
      </c>
      <c r="J386" s="12">
        <v>1</v>
      </c>
      <c r="K386" s="13" t="str">
        <f>HYPERLINK("http://twitter.com/#!/download/ipad","Twitter for iPad")</f>
        <v>Twitter for iPad</v>
      </c>
      <c r="L386" s="12">
        <v>123</v>
      </c>
      <c r="M386" s="12">
        <v>449</v>
      </c>
      <c r="N386" s="12">
        <v>0</v>
      </c>
      <c r="O386" s="14"/>
      <c r="P386" s="6">
        <v>41658.103402777779</v>
      </c>
      <c r="Q386" s="11"/>
      <c r="R386" s="17" t="s">
        <v>1477</v>
      </c>
      <c r="S386" s="11"/>
      <c r="T386" s="11"/>
      <c r="U386" s="10" t="str">
        <f>HYPERLINK("https://pbs.twimg.com/profile_images/745623747953037312/2v9lO0xj.jpg","View")</f>
        <v>View</v>
      </c>
    </row>
    <row r="387" spans="1:21" ht="20.399999999999999">
      <c r="A387" s="6">
        <v>43441.698784722219</v>
      </c>
      <c r="B387" s="7" t="str">
        <f>HYPERLINK("https://twitter.com/cserranomar","@cserranomar")</f>
        <v>@cserranomar</v>
      </c>
      <c r="C387" s="8" t="s">
        <v>1478</v>
      </c>
      <c r="D387" s="9" t="s">
        <v>1479</v>
      </c>
      <c r="E387" s="10" t="str">
        <f>HYPERLINK("https://twitter.com/cserranomar/status/1071068377244942336","1071068377244942336")</f>
        <v>1071068377244942336</v>
      </c>
      <c r="F387" s="11"/>
      <c r="G387" s="16" t="s">
        <v>1480</v>
      </c>
      <c r="H387" s="11"/>
      <c r="I387" s="12">
        <v>0</v>
      </c>
      <c r="J387" s="12">
        <v>0</v>
      </c>
      <c r="K387" s="13" t="str">
        <f>HYPERLINK("http://twitter.com/download/android","Twitter for Android")</f>
        <v>Twitter for Android</v>
      </c>
      <c r="L387" s="12">
        <v>412</v>
      </c>
      <c r="M387" s="12">
        <v>466</v>
      </c>
      <c r="N387" s="12">
        <v>18</v>
      </c>
      <c r="O387" s="14"/>
      <c r="P387" s="6">
        <v>40624.819467592592</v>
      </c>
      <c r="Q387" s="15" t="s">
        <v>1481</v>
      </c>
      <c r="R387" s="17" t="s">
        <v>1482</v>
      </c>
      <c r="S387" s="16" t="s">
        <v>1483</v>
      </c>
      <c r="T387" s="11"/>
      <c r="U387" s="10" t="str">
        <f>HYPERLINK("https://pbs.twimg.com/profile_images/1061553909171453954/MmQg74L9.jpg","View")</f>
        <v>View</v>
      </c>
    </row>
    <row r="388" spans="1:21" ht="61.2">
      <c r="A388" s="6">
        <v>43441.695694444439</v>
      </c>
      <c r="B388" s="7" t="str">
        <f>HYPERLINK("https://twitter.com/SergiogmSergio","@SergiogmSergio")</f>
        <v>@SergiogmSergio</v>
      </c>
      <c r="C388" s="8" t="s">
        <v>1431</v>
      </c>
      <c r="D388" s="9" t="s">
        <v>1484</v>
      </c>
      <c r="E388" s="10" t="str">
        <f>HYPERLINK("https://twitter.com/SergiogmSergio/status/1071067258657669120","1071067258657669120")</f>
        <v>1071067258657669120</v>
      </c>
      <c r="F388" s="16" t="s">
        <v>1485</v>
      </c>
      <c r="G388" s="16" t="s">
        <v>1486</v>
      </c>
      <c r="H388" s="11"/>
      <c r="I388" s="12">
        <v>4</v>
      </c>
      <c r="J388" s="12">
        <v>6</v>
      </c>
      <c r="K388" s="13" t="str">
        <f>HYPERLINK("http://twitter.com/download/iphone","Twitter for iPhone")</f>
        <v>Twitter for iPhone</v>
      </c>
      <c r="L388" s="12">
        <v>154</v>
      </c>
      <c r="M388" s="12">
        <v>345</v>
      </c>
      <c r="N388" s="12">
        <v>0</v>
      </c>
      <c r="O388" s="14"/>
      <c r="P388" s="6">
        <v>42071.631851851853</v>
      </c>
      <c r="Q388" s="11"/>
      <c r="R388" s="17" t="s">
        <v>1435</v>
      </c>
      <c r="S388" s="11"/>
      <c r="T388" s="11"/>
      <c r="U388" s="10" t="str">
        <f>HYPERLINK("https://pbs.twimg.com/profile_images/759914683843252224/gGYuI175.jpg","View")</f>
        <v>View</v>
      </c>
    </row>
    <row r="389" spans="1:21" ht="20.399999999999999">
      <c r="A389" s="6">
        <v>43441.695509259254</v>
      </c>
      <c r="B389" s="7" t="str">
        <f>HYPERLINK("https://twitter.com/dnsoctubre","@dnsoctubre")</f>
        <v>@dnsoctubre</v>
      </c>
      <c r="C389" s="8" t="s">
        <v>1487</v>
      </c>
      <c r="D389" s="9" t="s">
        <v>1488</v>
      </c>
      <c r="E389" s="10" t="str">
        <f>HYPERLINK("https://twitter.com/dnsoctubre/status/1071067189946531841","1071067189946531841")</f>
        <v>1071067189946531841</v>
      </c>
      <c r="F389" s="11"/>
      <c r="G389" s="16" t="s">
        <v>1489</v>
      </c>
      <c r="H389" s="11"/>
      <c r="I389" s="12">
        <v>0</v>
      </c>
      <c r="J389" s="12">
        <v>0</v>
      </c>
      <c r="K389" s="13" t="str">
        <f>HYPERLINK("http://twitter.com/download/android","Twitter for Android")</f>
        <v>Twitter for Android</v>
      </c>
      <c r="L389" s="12">
        <v>1384</v>
      </c>
      <c r="M389" s="12">
        <v>612</v>
      </c>
      <c r="N389" s="12">
        <v>18</v>
      </c>
      <c r="O389" s="14"/>
      <c r="P389" s="6">
        <v>40655.706828703704</v>
      </c>
      <c r="Q389" s="15" t="s">
        <v>1490</v>
      </c>
      <c r="R389" s="17" t="s">
        <v>1491</v>
      </c>
      <c r="S389" s="11"/>
      <c r="T389" s="11"/>
      <c r="U389" s="10" t="str">
        <f>HYPERLINK("https://pbs.twimg.com/profile_images/922370152326451200/WwwUuDwg.jpg","View")</f>
        <v>View</v>
      </c>
    </row>
    <row r="390" spans="1:21" ht="30.6">
      <c r="A390" s="6">
        <v>43441.693287037036</v>
      </c>
      <c r="B390" s="7" t="str">
        <f>HYPERLINK("https://twitter.com/MtzFerrando","@MtzFerrando")</f>
        <v>@MtzFerrando</v>
      </c>
      <c r="C390" s="8" t="s">
        <v>1492</v>
      </c>
      <c r="D390" s="9" t="s">
        <v>1493</v>
      </c>
      <c r="E390" s="10" t="str">
        <f>HYPERLINK("https://twitter.com/MtzFerrando/status/1071066384019410944","1071066384019410944")</f>
        <v>1071066384019410944</v>
      </c>
      <c r="F390" s="16" t="s">
        <v>1494</v>
      </c>
      <c r="G390" s="11"/>
      <c r="H390" s="11"/>
      <c r="I390" s="12">
        <v>0</v>
      </c>
      <c r="J390" s="12">
        <v>0</v>
      </c>
      <c r="K390" s="13" t="str">
        <f>HYPERLINK("http://twitter.com","Twitter Web Client")</f>
        <v>Twitter Web Client</v>
      </c>
      <c r="L390" s="12">
        <v>1010</v>
      </c>
      <c r="M390" s="12">
        <v>118</v>
      </c>
      <c r="N390" s="12">
        <v>6</v>
      </c>
      <c r="O390" s="14"/>
      <c r="P390" s="6">
        <v>41539.594837962963</v>
      </c>
      <c r="Q390" s="15" t="s">
        <v>1495</v>
      </c>
      <c r="R390" s="17" t="s">
        <v>1496</v>
      </c>
      <c r="S390" s="11"/>
      <c r="T390" s="11"/>
      <c r="U390" s="10" t="str">
        <f>HYPERLINK("https://pbs.twimg.com/profile_images/995638583699570688/wxZTrftK.jpg","View")</f>
        <v>View</v>
      </c>
    </row>
    <row r="391" spans="1:21" ht="61.2">
      <c r="A391" s="6">
        <v>43441.692210648151</v>
      </c>
      <c r="B391" s="7" t="str">
        <f>HYPERLINK("https://twitter.com/PayasoSinTitulo","@PayasoSinTitulo")</f>
        <v>@PayasoSinTitulo</v>
      </c>
      <c r="C391" s="8" t="s">
        <v>1497</v>
      </c>
      <c r="D391" s="9" t="s">
        <v>1498</v>
      </c>
      <c r="E391" s="10" t="str">
        <f>HYPERLINK("https://twitter.com/PayasoSinTitulo/status/1071065997661143040","1071065997661143040")</f>
        <v>1071065997661143040</v>
      </c>
      <c r="F391" s="11"/>
      <c r="G391" s="16" t="s">
        <v>1499</v>
      </c>
      <c r="H391" s="11"/>
      <c r="I391" s="12">
        <v>35</v>
      </c>
      <c r="J391" s="12">
        <v>38</v>
      </c>
      <c r="K391" s="13" t="str">
        <f>HYPERLINK("https://mobile.twitter.com","Twitter Lite")</f>
        <v>Twitter Lite</v>
      </c>
      <c r="L391" s="12">
        <v>604</v>
      </c>
      <c r="M391" s="12">
        <v>1103</v>
      </c>
      <c r="N391" s="12">
        <v>0</v>
      </c>
      <c r="O391" s="14"/>
      <c r="P391" s="6">
        <v>43421.938981481479</v>
      </c>
      <c r="Q391" s="15" t="s">
        <v>1500</v>
      </c>
      <c r="R391" s="17" t="s">
        <v>1501</v>
      </c>
      <c r="S391" s="11"/>
      <c r="T391" s="11"/>
      <c r="U391" s="10" t="str">
        <f>HYPERLINK("https://pbs.twimg.com/profile_images/1064189853942857728/aBjY9SlP.jpg","View")</f>
        <v>View</v>
      </c>
    </row>
    <row r="392" spans="1:21" ht="61.2">
      <c r="A392" s="6">
        <v>43441.690868055557</v>
      </c>
      <c r="B392" s="7" t="str">
        <f>HYPERLINK("https://twitter.com/UlisesGamez10","@UlisesGamez10")</f>
        <v>@UlisesGamez10</v>
      </c>
      <c r="C392" s="8" t="s">
        <v>233</v>
      </c>
      <c r="D392" s="9" t="s">
        <v>1502</v>
      </c>
      <c r="E392" s="10" t="str">
        <f>HYPERLINK("https://twitter.com/UlisesGamez10/status/1071065507942621185","1071065507942621185")</f>
        <v>1071065507942621185</v>
      </c>
      <c r="F392" s="11"/>
      <c r="G392" s="11"/>
      <c r="H392" s="11"/>
      <c r="I392" s="12">
        <v>0</v>
      </c>
      <c r="J392" s="12">
        <v>2</v>
      </c>
      <c r="K392" s="13" t="str">
        <f t="shared" ref="K392:K394" si="110">HYPERLINK("http://twitter.com/download/android","Twitter for Android")</f>
        <v>Twitter for Android</v>
      </c>
      <c r="L392" s="12">
        <v>1184</v>
      </c>
      <c r="M392" s="12">
        <v>5002</v>
      </c>
      <c r="N392" s="12">
        <v>0</v>
      </c>
      <c r="O392" s="14"/>
      <c r="P392" s="6">
        <v>43190.59783564815</v>
      </c>
      <c r="Q392" s="15" t="s">
        <v>236</v>
      </c>
      <c r="R392" s="17" t="s">
        <v>237</v>
      </c>
      <c r="S392" s="11"/>
      <c r="T392" s="11"/>
      <c r="U392" s="10" t="str">
        <f>HYPERLINK("https://pbs.twimg.com/profile_images/1068881444196499456/MCgxp2WR.jpg","View")</f>
        <v>View</v>
      </c>
    </row>
    <row r="393" spans="1:21" ht="20.399999999999999">
      <c r="A393" s="6">
        <v>43441.690717592588</v>
      </c>
      <c r="B393" s="7" t="str">
        <f>HYPERLINK("https://twitter.com/Ahora_PODEVOX","@Ahora_PODEVOX")</f>
        <v>@Ahora_PODEVOX</v>
      </c>
      <c r="C393" s="8" t="s">
        <v>1503</v>
      </c>
      <c r="D393" s="9" t="s">
        <v>1504</v>
      </c>
      <c r="E393" s="10" t="str">
        <f>HYPERLINK("https://twitter.com/Ahora_PODEVOX/status/1071065456344215557","1071065456344215557")</f>
        <v>1071065456344215557</v>
      </c>
      <c r="F393" s="11"/>
      <c r="G393" s="16" t="s">
        <v>1505</v>
      </c>
      <c r="H393" s="11"/>
      <c r="I393" s="12">
        <v>8</v>
      </c>
      <c r="J393" s="12">
        <v>14</v>
      </c>
      <c r="K393" s="13" t="str">
        <f t="shared" si="110"/>
        <v>Twitter for Android</v>
      </c>
      <c r="L393" s="12">
        <v>197</v>
      </c>
      <c r="M393" s="12">
        <v>37</v>
      </c>
      <c r="N393" s="12">
        <v>0</v>
      </c>
      <c r="O393" s="14"/>
      <c r="P393" s="6">
        <v>43440.514467592591</v>
      </c>
      <c r="Q393" s="15" t="s">
        <v>1506</v>
      </c>
      <c r="R393" s="17" t="s">
        <v>1507</v>
      </c>
      <c r="S393" s="11"/>
      <c r="T393" s="11"/>
      <c r="U393" s="10" t="str">
        <f>HYPERLINK("https://pbs.twimg.com/profile_images/1070692453269860353/J3qFWXFa.jpg","View")</f>
        <v>View</v>
      </c>
    </row>
    <row r="394" spans="1:21" ht="51">
      <c r="A394" s="6">
        <v>43441.689201388886</v>
      </c>
      <c r="B394" s="7" t="str">
        <f>HYPERLINK("https://twitter.com/alcaide345","@alcaide345")</f>
        <v>@alcaide345</v>
      </c>
      <c r="C394" s="8" t="s">
        <v>1508</v>
      </c>
      <c r="D394" s="9" t="s">
        <v>1509</v>
      </c>
      <c r="E394" s="10" t="str">
        <f>HYPERLINK("https://twitter.com/alcaide345/status/1071064906936532992","1071064906936532992")</f>
        <v>1071064906936532992</v>
      </c>
      <c r="F394" s="11"/>
      <c r="G394" s="16" t="s">
        <v>1235</v>
      </c>
      <c r="H394" s="11"/>
      <c r="I394" s="12">
        <v>2</v>
      </c>
      <c r="J394" s="12">
        <v>1</v>
      </c>
      <c r="K394" s="13" t="str">
        <f t="shared" si="110"/>
        <v>Twitter for Android</v>
      </c>
      <c r="L394" s="12">
        <v>35</v>
      </c>
      <c r="M394" s="12">
        <v>84</v>
      </c>
      <c r="N394" s="12">
        <v>0</v>
      </c>
      <c r="O394" s="14"/>
      <c r="P394" s="6">
        <v>41159.867800925924</v>
      </c>
      <c r="Q394" s="11"/>
      <c r="R394" s="18"/>
      <c r="S394" s="11"/>
      <c r="T394" s="11"/>
      <c r="U394" s="10" t="str">
        <f>HYPERLINK("https://pbs.twimg.com/profile_images/911679672039170049/t-WmWiJJ.jpg","View")</f>
        <v>View</v>
      </c>
    </row>
    <row r="395" spans="1:21" ht="71.400000000000006">
      <c r="A395" s="6">
        <v>43441.686712962968</v>
      </c>
      <c r="B395" s="7" t="str">
        <f>HYPERLINK("https://twitter.com/fuideizquierdas","@fuideizquierdas")</f>
        <v>@fuideizquierdas</v>
      </c>
      <c r="C395" s="8" t="s">
        <v>1510</v>
      </c>
      <c r="D395" s="9" t="s">
        <v>1511</v>
      </c>
      <c r="E395" s="10" t="str">
        <f>HYPERLINK("https://twitter.com/fuideizquierdas/status/1071064003651268609","1071064003651268609")</f>
        <v>1071064003651268609</v>
      </c>
      <c r="F395" s="16" t="s">
        <v>1512</v>
      </c>
      <c r="G395" s="16" t="s">
        <v>1513</v>
      </c>
      <c r="H395" s="11"/>
      <c r="I395" s="12">
        <v>0</v>
      </c>
      <c r="J395" s="12">
        <v>0</v>
      </c>
      <c r="K395" s="13" t="str">
        <f>HYPERLINK("http://twitter.com/download/iphone","Twitter for iPhone")</f>
        <v>Twitter for iPhone</v>
      </c>
      <c r="L395" s="12">
        <v>16</v>
      </c>
      <c r="M395" s="12">
        <v>93</v>
      </c>
      <c r="N395" s="12">
        <v>0</v>
      </c>
      <c r="O395" s="14"/>
      <c r="P395" s="6">
        <v>43440.559583333335</v>
      </c>
      <c r="Q395" s="11"/>
      <c r="R395" s="17" t="s">
        <v>1514</v>
      </c>
      <c r="S395" s="11"/>
      <c r="T395" s="11"/>
      <c r="U395" s="10" t="str">
        <f>HYPERLINK("https://pbs.twimg.com/profile_images/1070656164495585287/CSzmsWmT.jpg","View")</f>
        <v>View</v>
      </c>
    </row>
    <row r="396" spans="1:21" ht="40.799999999999997">
      <c r="A396" s="6">
        <v>43441.685543981483</v>
      </c>
      <c r="B396" s="7" t="str">
        <f>HYPERLINK("https://twitter.com/haba_tar","@haba_tar")</f>
        <v>@haba_tar</v>
      </c>
      <c r="C396" s="8" t="s">
        <v>1515</v>
      </c>
      <c r="D396" s="9" t="s">
        <v>1516</v>
      </c>
      <c r="E396" s="10" t="str">
        <f>HYPERLINK("https://twitter.com/haba_tar/status/1071063579376476160","1071063579376476160")</f>
        <v>1071063579376476160</v>
      </c>
      <c r="F396" s="15" t="s">
        <v>1517</v>
      </c>
      <c r="G396" s="11"/>
      <c r="H396" s="11"/>
      <c r="I396" s="12">
        <v>0</v>
      </c>
      <c r="J396" s="12">
        <v>0</v>
      </c>
      <c r="K396" s="13" t="str">
        <f>HYPERLINK("http://twitter.com/#!/download/ipad","Twitter for iPad")</f>
        <v>Twitter for iPad</v>
      </c>
      <c r="L396" s="12">
        <v>2168</v>
      </c>
      <c r="M396" s="12">
        <v>2433</v>
      </c>
      <c r="N396" s="12">
        <v>18</v>
      </c>
      <c r="O396" s="14"/>
      <c r="P396" s="6">
        <v>41986.027986111112</v>
      </c>
      <c r="Q396" s="15" t="s">
        <v>712</v>
      </c>
      <c r="R396" s="17" t="s">
        <v>1518</v>
      </c>
      <c r="S396" s="11"/>
      <c r="T396" s="11"/>
      <c r="U396" s="10" t="str">
        <f>HYPERLINK("https://pbs.twimg.com/profile_images/744252301892784128/O5VgANzt.jpg","View")</f>
        <v>View</v>
      </c>
    </row>
    <row r="397" spans="1:21" ht="81.599999999999994">
      <c r="A397" s="6">
        <v>43441.680162037039</v>
      </c>
      <c r="B397" s="7" t="str">
        <f>HYPERLINK("https://twitter.com/UlisesGamez10","@UlisesGamez10")</f>
        <v>@UlisesGamez10</v>
      </c>
      <c r="C397" s="8" t="s">
        <v>233</v>
      </c>
      <c r="D397" s="9" t="s">
        <v>1519</v>
      </c>
      <c r="E397" s="10" t="str">
        <f>HYPERLINK("https://twitter.com/UlisesGamez10/status/1071061628790153217","1071061628790153217")</f>
        <v>1071061628790153217</v>
      </c>
      <c r="F397" s="15" t="s">
        <v>1520</v>
      </c>
      <c r="G397" s="11"/>
      <c r="H397" s="11"/>
      <c r="I397" s="12">
        <v>1</v>
      </c>
      <c r="J397" s="12">
        <v>0</v>
      </c>
      <c r="K397" s="13" t="str">
        <f>HYPERLINK("http://twitter.com/download/android","Twitter for Android")</f>
        <v>Twitter for Android</v>
      </c>
      <c r="L397" s="12">
        <v>1184</v>
      </c>
      <c r="M397" s="12">
        <v>5002</v>
      </c>
      <c r="N397" s="12">
        <v>0</v>
      </c>
      <c r="O397" s="14"/>
      <c r="P397" s="6">
        <v>43190.59783564815</v>
      </c>
      <c r="Q397" s="15" t="s">
        <v>236</v>
      </c>
      <c r="R397" s="17" t="s">
        <v>237</v>
      </c>
      <c r="S397" s="11"/>
      <c r="T397" s="11"/>
      <c r="U397" s="10" t="str">
        <f>HYPERLINK("https://pbs.twimg.com/profile_images/1068881444196499456/MCgxp2WR.jpg","View")</f>
        <v>View</v>
      </c>
    </row>
    <row r="398" spans="1:21" ht="20.399999999999999">
      <c r="A398" s="6">
        <v>43441.679722222223</v>
      </c>
      <c r="B398" s="7" t="str">
        <f>HYPERLINK("https://twitter.com/cris_mc_91","@cris_mc_91")</f>
        <v>@cris_mc_91</v>
      </c>
      <c r="C398" s="8" t="s">
        <v>1521</v>
      </c>
      <c r="D398" s="9" t="s">
        <v>1522</v>
      </c>
      <c r="E398" s="10" t="str">
        <f>HYPERLINK("https://twitter.com/cris_mc_91/status/1071061471033995266","1071061471033995266")</f>
        <v>1071061471033995266</v>
      </c>
      <c r="F398" s="16" t="s">
        <v>1523</v>
      </c>
      <c r="G398" s="11"/>
      <c r="H398" s="11"/>
      <c r="I398" s="12">
        <v>0</v>
      </c>
      <c r="J398" s="12">
        <v>0</v>
      </c>
      <c r="K398" s="13" t="str">
        <f>HYPERLINK("http://twitter.com/download/iphone","Twitter for iPhone")</f>
        <v>Twitter for iPhone</v>
      </c>
      <c r="L398" s="12">
        <v>223</v>
      </c>
      <c r="M398" s="12">
        <v>170</v>
      </c>
      <c r="N398" s="12">
        <v>2</v>
      </c>
      <c r="O398" s="14"/>
      <c r="P398" s="6">
        <v>41033.576215277775</v>
      </c>
      <c r="Q398" s="15" t="s">
        <v>1524</v>
      </c>
      <c r="R398" s="17" t="s">
        <v>1525</v>
      </c>
      <c r="S398" s="11"/>
      <c r="T398" s="11"/>
      <c r="U398" s="10" t="str">
        <f>HYPERLINK("https://pbs.twimg.com/profile_images/844345882602590208/h6ft6a1D.jpg","View")</f>
        <v>View</v>
      </c>
    </row>
    <row r="399" spans="1:21" ht="30.6">
      <c r="A399" s="6">
        <v>43441.679340277777</v>
      </c>
      <c r="B399" s="7" t="str">
        <f>HYPERLINK("https://twitter.com/Rafajim03615083","@Rafajim03615083")</f>
        <v>@Rafajim03615083</v>
      </c>
      <c r="C399" s="8" t="s">
        <v>1526</v>
      </c>
      <c r="D399" s="9" t="s">
        <v>847</v>
      </c>
      <c r="E399" s="10" t="str">
        <f>HYPERLINK("https://twitter.com/Rafajim03615083/status/1071061330893946880","1071061330893946880")</f>
        <v>1071061330893946880</v>
      </c>
      <c r="F399" s="16" t="s">
        <v>735</v>
      </c>
      <c r="G399" s="11"/>
      <c r="H399" s="11"/>
      <c r="I399" s="12">
        <v>1</v>
      </c>
      <c r="J399" s="12">
        <v>1</v>
      </c>
      <c r="K399" s="13" t="str">
        <f>HYPERLINK("http://twitter.com","Twitter Web Client")</f>
        <v>Twitter Web Client</v>
      </c>
      <c r="L399" s="12">
        <v>334</v>
      </c>
      <c r="M399" s="12">
        <v>576</v>
      </c>
      <c r="N399" s="12">
        <v>0</v>
      </c>
      <c r="O399" s="14"/>
      <c r="P399" s="6">
        <v>43149.924768518518</v>
      </c>
      <c r="Q399" s="15" t="s">
        <v>1527</v>
      </c>
      <c r="R399" s="17" t="s">
        <v>1528</v>
      </c>
      <c r="S399" s="11"/>
      <c r="T399" s="11"/>
      <c r="U399" s="10" t="str">
        <f>HYPERLINK("https://pbs.twimg.com/profile_images/976293772270153728/ZBvf2sNb.jpg","View")</f>
        <v>View</v>
      </c>
    </row>
    <row r="400" spans="1:21" ht="51">
      <c r="A400" s="6">
        <v>43441.679236111115</v>
      </c>
      <c r="B400" s="7" t="str">
        <f>HYPERLINK("https://twitter.com/psolidaridad","@psolidaridad")</f>
        <v>@psolidaridad</v>
      </c>
      <c r="C400" s="8" t="s">
        <v>159</v>
      </c>
      <c r="D400" s="9" t="s">
        <v>1529</v>
      </c>
      <c r="E400" s="10" t="str">
        <f>HYPERLINK("https://twitter.com/psolidaridad/status/1071061293283581952","1071061293283581952")</f>
        <v>1071061293283581952</v>
      </c>
      <c r="F400" s="16" t="s">
        <v>1530</v>
      </c>
      <c r="G400" s="11"/>
      <c r="H400" s="11"/>
      <c r="I400" s="12">
        <v>0</v>
      </c>
      <c r="J400" s="12">
        <v>2</v>
      </c>
      <c r="K400" s="13" t="str">
        <f>HYPERLINK("http://twitter.com/download/android","Twitter for Android")</f>
        <v>Twitter for Android</v>
      </c>
      <c r="L400" s="12">
        <v>1623</v>
      </c>
      <c r="M400" s="12">
        <v>4841</v>
      </c>
      <c r="N400" s="12">
        <v>1</v>
      </c>
      <c r="O400" s="14"/>
      <c r="P400" s="6">
        <v>41803.502372685187</v>
      </c>
      <c r="Q400" s="11"/>
      <c r="R400" s="17" t="s">
        <v>162</v>
      </c>
      <c r="S400" s="11"/>
      <c r="T400" s="11"/>
      <c r="U400" s="10" t="str">
        <f>HYPERLINK("https://pbs.twimg.com/profile_images/1030394358397317120/oQ0F2vnz.jpg","View")</f>
        <v>View</v>
      </c>
    </row>
    <row r="401" spans="1:21" ht="71.400000000000006">
      <c r="A401" s="6">
        <v>43441.677384259259</v>
      </c>
      <c r="B401" s="7" t="str">
        <f>HYPERLINK("https://twitter.com/guido_mpj","@guido_mpj")</f>
        <v>@guido_mpj</v>
      </c>
      <c r="C401" s="8" t="s">
        <v>1531</v>
      </c>
      <c r="D401" s="9" t="s">
        <v>1532</v>
      </c>
      <c r="E401" s="10" t="str">
        <f>HYPERLINK("https://twitter.com/guido_mpj/status/1071060623365156866","1071060623365156866")</f>
        <v>1071060623365156866</v>
      </c>
      <c r="F401" s="15" t="s">
        <v>1533</v>
      </c>
      <c r="G401" s="16" t="s">
        <v>1534</v>
      </c>
      <c r="H401" s="11"/>
      <c r="I401" s="12">
        <v>0</v>
      </c>
      <c r="J401" s="12">
        <v>0</v>
      </c>
      <c r="K401" s="13" t="str">
        <f>HYPERLINK("http://twitter.com/download/iphone","Twitter for iPhone")</f>
        <v>Twitter for iPhone</v>
      </c>
      <c r="L401" s="12">
        <v>2894</v>
      </c>
      <c r="M401" s="12">
        <v>1566</v>
      </c>
      <c r="N401" s="12">
        <v>28</v>
      </c>
      <c r="O401" s="14"/>
      <c r="P401" s="6">
        <v>40760.586053240739</v>
      </c>
      <c r="Q401" s="15" t="s">
        <v>1535</v>
      </c>
      <c r="R401" s="17" t="s">
        <v>1536</v>
      </c>
      <c r="S401" s="11"/>
      <c r="T401" s="11"/>
      <c r="U401" s="10" t="str">
        <f>HYPERLINK("https://pbs.twimg.com/profile_images/1042491618329337856/BFb9DOLG.jpg","View")</f>
        <v>View</v>
      </c>
    </row>
    <row r="402" spans="1:21" ht="81.599999999999994">
      <c r="A402" s="6">
        <v>43441.673136574071</v>
      </c>
      <c r="B402" s="7" t="str">
        <f>HYPERLINK("https://twitter.com/Javicuef","@Javicuef")</f>
        <v>@Javicuef</v>
      </c>
      <c r="C402" s="8" t="s">
        <v>1537</v>
      </c>
      <c r="D402" s="9" t="s">
        <v>1538</v>
      </c>
      <c r="E402" s="10" t="str">
        <f>HYPERLINK("https://twitter.com/Javicuef/status/1071059085041250305","1071059085041250305")</f>
        <v>1071059085041250305</v>
      </c>
      <c r="F402" s="15" t="s">
        <v>1539</v>
      </c>
      <c r="G402" s="11"/>
      <c r="H402" s="11"/>
      <c r="I402" s="12">
        <v>0</v>
      </c>
      <c r="J402" s="12">
        <v>1</v>
      </c>
      <c r="K402" s="13" t="str">
        <f>HYPERLINK("http://twitter.com","Twitter Web Client")</f>
        <v>Twitter Web Client</v>
      </c>
      <c r="L402" s="12">
        <v>910</v>
      </c>
      <c r="M402" s="12">
        <v>943</v>
      </c>
      <c r="N402" s="12">
        <v>23</v>
      </c>
      <c r="O402" s="14"/>
      <c r="P402" s="6">
        <v>40601.629004629627</v>
      </c>
      <c r="Q402" s="15" t="s">
        <v>1540</v>
      </c>
      <c r="R402" s="17" t="s">
        <v>1541</v>
      </c>
      <c r="S402" s="16" t="s">
        <v>1542</v>
      </c>
      <c r="T402" s="11"/>
      <c r="U402" s="10" t="str">
        <f>HYPERLINK("https://pbs.twimg.com/profile_images/1053230315144179712/cLxFz3zF.jpg","View")</f>
        <v>View</v>
      </c>
    </row>
    <row r="403" spans="1:21" ht="30.6">
      <c r="A403" s="6">
        <v>43441.672199074077</v>
      </c>
      <c r="B403" s="7" t="str">
        <f>HYPERLINK("https://twitter.com/MiguelM49500850","@MiguelM49500850")</f>
        <v>@MiguelM49500850</v>
      </c>
      <c r="C403" s="8" t="s">
        <v>1543</v>
      </c>
      <c r="D403" s="9" t="s">
        <v>1544</v>
      </c>
      <c r="E403" s="10" t="str">
        <f>HYPERLINK("https://twitter.com/MiguelM49500850/status/1071058744023367680","1071058744023367680")</f>
        <v>1071058744023367680</v>
      </c>
      <c r="F403" s="11"/>
      <c r="G403" s="16" t="s">
        <v>1545</v>
      </c>
      <c r="H403" s="11"/>
      <c r="I403" s="12">
        <v>0</v>
      </c>
      <c r="J403" s="12">
        <v>0</v>
      </c>
      <c r="K403" s="13" t="str">
        <f>HYPERLINK("http://twitter.com/download/android","Twitter for Android")</f>
        <v>Twitter for Android</v>
      </c>
      <c r="L403" s="12">
        <v>13</v>
      </c>
      <c r="M403" s="12">
        <v>191</v>
      </c>
      <c r="N403" s="12">
        <v>0</v>
      </c>
      <c r="O403" s="14"/>
      <c r="P403" s="6">
        <v>43416.405671296292</v>
      </c>
      <c r="Q403" s="15" t="s">
        <v>1546</v>
      </c>
      <c r="R403" s="17" t="s">
        <v>1547</v>
      </c>
      <c r="S403" s="11"/>
      <c r="T403" s="11"/>
      <c r="U403" s="10" t="str">
        <f>HYPERLINK("https://pbs.twimg.com/profile_images/1061904143714058241/SFECN1FI.jpg","View")</f>
        <v>View</v>
      </c>
    </row>
    <row r="404" spans="1:21" ht="30.6">
      <c r="A404" s="6">
        <v>43441.671331018515</v>
      </c>
      <c r="B404" s="7" t="str">
        <f>HYPERLINK("https://twitter.com/RamonVnzla","@RamonVnzla")</f>
        <v>@RamonVnzla</v>
      </c>
      <c r="C404" s="8" t="s">
        <v>1548</v>
      </c>
      <c r="D404" s="9" t="s">
        <v>1182</v>
      </c>
      <c r="E404" s="10" t="str">
        <f>HYPERLINK("https://twitter.com/RamonVnzla/status/1071058428519305216","1071058428519305216")</f>
        <v>1071058428519305216</v>
      </c>
      <c r="F404" s="16" t="s">
        <v>1549</v>
      </c>
      <c r="G404" s="11"/>
      <c r="H404" s="11"/>
      <c r="I404" s="12">
        <v>0</v>
      </c>
      <c r="J404" s="12">
        <v>0</v>
      </c>
      <c r="K404" s="13" t="str">
        <f t="shared" ref="K404:K405" si="111">HYPERLINK("https://dlvrit.com/","dlvr.it")</f>
        <v>dlvr.it</v>
      </c>
      <c r="L404" s="12">
        <v>627</v>
      </c>
      <c r="M404" s="12">
        <v>800</v>
      </c>
      <c r="N404" s="12">
        <v>19</v>
      </c>
      <c r="O404" s="14"/>
      <c r="P404" s="6">
        <v>41415.70585648148</v>
      </c>
      <c r="Q404" s="15" t="s">
        <v>1550</v>
      </c>
      <c r="R404" s="17" t="s">
        <v>1551</v>
      </c>
      <c r="S404" s="11"/>
      <c r="T404" s="11"/>
      <c r="U404" s="10" t="str">
        <f>HYPERLINK("https://pbs.twimg.com/profile_images/3690347581/cf6d088807117395097fd0c689b97e15.jpeg","View")</f>
        <v>View</v>
      </c>
    </row>
    <row r="405" spans="1:21" ht="20.399999999999999">
      <c r="A405" s="6">
        <v>43441.671296296292</v>
      </c>
      <c r="B405" s="7" t="str">
        <f>HYPERLINK("https://twitter.com/PatrickOrtegaC","@PatrickOrtegaC")</f>
        <v>@PatrickOrtegaC</v>
      </c>
      <c r="C405" s="8" t="s">
        <v>1552</v>
      </c>
      <c r="D405" s="9" t="s">
        <v>1182</v>
      </c>
      <c r="E405" s="10" t="str">
        <f>HYPERLINK("https://twitter.com/PatrickOrtegaC/status/1071058417727418369","1071058417727418369")</f>
        <v>1071058417727418369</v>
      </c>
      <c r="F405" s="16" t="s">
        <v>1553</v>
      </c>
      <c r="G405" s="11"/>
      <c r="H405" s="11"/>
      <c r="I405" s="12">
        <v>0</v>
      </c>
      <c r="J405" s="12">
        <v>0</v>
      </c>
      <c r="K405" s="13" t="str">
        <f t="shared" si="111"/>
        <v>dlvr.it</v>
      </c>
      <c r="L405" s="12">
        <v>155</v>
      </c>
      <c r="M405" s="12">
        <v>213</v>
      </c>
      <c r="N405" s="12">
        <v>17</v>
      </c>
      <c r="O405" s="14"/>
      <c r="P405" s="6">
        <v>41324.80877314815</v>
      </c>
      <c r="Q405" s="11"/>
      <c r="R405" s="18"/>
      <c r="S405" s="11"/>
      <c r="T405" s="11"/>
      <c r="U405" s="10" t="str">
        <f>HYPERLINK("https://pbs.twimg.com/profile_images/3278962179/ae4d8010d0ddc8b22bbd394a3e29743b.jpeg","View")</f>
        <v>View</v>
      </c>
    </row>
    <row r="406" spans="1:21" ht="61.2">
      <c r="A406" s="6">
        <v>43441.67</v>
      </c>
      <c r="B406" s="7" t="str">
        <f>HYPERLINK("https://twitter.com/Michelturu","@Michelturu")</f>
        <v>@Michelturu</v>
      </c>
      <c r="C406" s="8" t="s">
        <v>1554</v>
      </c>
      <c r="D406" s="9" t="s">
        <v>1555</v>
      </c>
      <c r="E406" s="10" t="str">
        <f>HYPERLINK("https://twitter.com/Michelturu/status/1071057946077999106","1071057946077999106")</f>
        <v>1071057946077999106</v>
      </c>
      <c r="F406" s="16" t="s">
        <v>740</v>
      </c>
      <c r="G406" s="16" t="s">
        <v>741</v>
      </c>
      <c r="H406" s="11"/>
      <c r="I406" s="12">
        <v>0</v>
      </c>
      <c r="J406" s="12">
        <v>0</v>
      </c>
      <c r="K406" s="13" t="str">
        <f>HYPERLINK("http://twitter.com/download/android","Twitter for Android")</f>
        <v>Twitter for Android</v>
      </c>
      <c r="L406" s="12">
        <v>81</v>
      </c>
      <c r="M406" s="12">
        <v>131</v>
      </c>
      <c r="N406" s="12">
        <v>1</v>
      </c>
      <c r="O406" s="14"/>
      <c r="P406" s="6">
        <v>41014.412511574075</v>
      </c>
      <c r="Q406" s="11"/>
      <c r="R406" s="18"/>
      <c r="S406" s="11"/>
      <c r="T406" s="11"/>
      <c r="U406" s="10" t="str">
        <f>HYPERLINK("https://pbs.twimg.com/profile_images/2251864380/F9R602yq","View")</f>
        <v>View</v>
      </c>
    </row>
    <row r="407" spans="1:21" ht="40.799999999999997">
      <c r="A407" s="6">
        <v>43441.669953703706</v>
      </c>
      <c r="B407" s="7" t="str">
        <f>HYPERLINK("https://twitter.com/jemahuja","@jemahuja")</f>
        <v>@jemahuja</v>
      </c>
      <c r="C407" s="8" t="s">
        <v>488</v>
      </c>
      <c r="D407" s="9" t="s">
        <v>1110</v>
      </c>
      <c r="E407" s="10" t="str">
        <f>HYPERLINK("https://twitter.com/jemahuja/status/1071057931037302790","1071057931037302790")</f>
        <v>1071057931037302790</v>
      </c>
      <c r="F407" s="16" t="s">
        <v>1556</v>
      </c>
      <c r="G407" s="11"/>
      <c r="H407" s="11"/>
      <c r="I407" s="12">
        <v>5</v>
      </c>
      <c r="J407" s="12">
        <v>3</v>
      </c>
      <c r="K407" s="13" t="str">
        <f>HYPERLINK("http://www.facebook.com/twitter","Facebook")</f>
        <v>Facebook</v>
      </c>
      <c r="L407" s="12">
        <v>4865</v>
      </c>
      <c r="M407" s="12">
        <v>5077</v>
      </c>
      <c r="N407" s="12">
        <v>69</v>
      </c>
      <c r="O407" s="14"/>
      <c r="P407" s="6">
        <v>40624.647256944445</v>
      </c>
      <c r="Q407" s="11"/>
      <c r="R407" s="17" t="s">
        <v>491</v>
      </c>
      <c r="S407" s="16" t="s">
        <v>492</v>
      </c>
      <c r="T407" s="11"/>
      <c r="U407" s="10" t="str">
        <f>HYPERLINK("https://pbs.twimg.com/profile_images/979014863442907137/Qus9jozf.jpg","View")</f>
        <v>View</v>
      </c>
    </row>
    <row r="408" spans="1:21" ht="51">
      <c r="A408" s="6">
        <v>43441.669062500005</v>
      </c>
      <c r="B408" s="7" t="str">
        <f>HYPERLINK("https://twitter.com/Jmanud","@Jmanud")</f>
        <v>@Jmanud</v>
      </c>
      <c r="C408" s="8" t="s">
        <v>1557</v>
      </c>
      <c r="D408" s="9" t="s">
        <v>1558</v>
      </c>
      <c r="E408" s="10" t="str">
        <f>HYPERLINK("https://twitter.com/Jmanud/status/1071057606427459584","1071057606427459584")</f>
        <v>1071057606427459584</v>
      </c>
      <c r="F408" s="11"/>
      <c r="G408" s="16" t="s">
        <v>1559</v>
      </c>
      <c r="H408" s="11"/>
      <c r="I408" s="12">
        <v>126</v>
      </c>
      <c r="J408" s="12">
        <v>113</v>
      </c>
      <c r="K408" s="13" t="str">
        <f>HYPERLINK("http://twitter.com/download/iphone","Twitter for iPhone")</f>
        <v>Twitter for iPhone</v>
      </c>
      <c r="L408" s="12">
        <v>2611</v>
      </c>
      <c r="M408" s="12">
        <v>245</v>
      </c>
      <c r="N408" s="12">
        <v>19</v>
      </c>
      <c r="O408" s="14"/>
      <c r="P408" s="6">
        <v>40757.556469907409</v>
      </c>
      <c r="Q408" s="15" t="s">
        <v>1048</v>
      </c>
      <c r="R408" s="17" t="s">
        <v>1560</v>
      </c>
      <c r="S408" s="11"/>
      <c r="T408" s="11"/>
      <c r="U408" s="10" t="str">
        <f>HYPERLINK("https://pbs.twimg.com/profile_images/931676655998947329/rsRdADto.jpg","View")</f>
        <v>View</v>
      </c>
    </row>
    <row r="409" spans="1:21" ht="30.6">
      <c r="A409" s="6">
        <v>43441.668946759259</v>
      </c>
      <c r="B409" s="7" t="str">
        <f>HYPERLINK("https://twitter.com/SoniaMaica","@SoniaMaica")</f>
        <v>@SoniaMaica</v>
      </c>
      <c r="C409" s="8" t="s">
        <v>1561</v>
      </c>
      <c r="D409" s="9" t="s">
        <v>1562</v>
      </c>
      <c r="E409" s="10" t="str">
        <f>HYPERLINK("https://twitter.com/SoniaMaica/status/1071057565289713669","1071057565289713669")</f>
        <v>1071057565289713669</v>
      </c>
      <c r="F409" s="16" t="s">
        <v>778</v>
      </c>
      <c r="G409" s="11"/>
      <c r="H409" s="11"/>
      <c r="I409" s="12">
        <v>0</v>
      </c>
      <c r="J409" s="12">
        <v>1</v>
      </c>
      <c r="K409" s="13" t="str">
        <f t="shared" ref="K409:K410" si="112">HYPERLINK("http://twitter.com","Twitter Web Client")</f>
        <v>Twitter Web Client</v>
      </c>
      <c r="L409" s="12">
        <v>932</v>
      </c>
      <c r="M409" s="12">
        <v>771</v>
      </c>
      <c r="N409" s="12">
        <v>0</v>
      </c>
      <c r="O409" s="14"/>
      <c r="P409" s="6">
        <v>42226.248460648145</v>
      </c>
      <c r="Q409" s="11"/>
      <c r="R409" s="17" t="s">
        <v>1563</v>
      </c>
      <c r="S409" s="11"/>
      <c r="T409" s="11"/>
      <c r="U409" s="10" t="str">
        <f>HYPERLINK("https://pbs.twimg.com/profile_images/1039671955488743424/B_2NzcTs.jpg","View")</f>
        <v>View</v>
      </c>
    </row>
    <row r="410" spans="1:21" ht="20.399999999999999">
      <c r="A410" s="6">
        <v>43441.66878472222</v>
      </c>
      <c r="B410" s="7" t="str">
        <f>HYPERLINK("https://twitter.com/AlfonsoRojoPD","@AlfonsoRojoPD")</f>
        <v>@AlfonsoRojoPD</v>
      </c>
      <c r="C410" s="8" t="s">
        <v>1564</v>
      </c>
      <c r="D410" s="9" t="s">
        <v>734</v>
      </c>
      <c r="E410" s="10" t="str">
        <f>HYPERLINK("https://twitter.com/AlfonsoRojoPD/status/1071057505021820928","1071057505021820928")</f>
        <v>1071057505021820928</v>
      </c>
      <c r="F410" s="16" t="s">
        <v>735</v>
      </c>
      <c r="G410" s="11"/>
      <c r="H410" s="11"/>
      <c r="I410" s="12">
        <v>15</v>
      </c>
      <c r="J410" s="12">
        <v>36</v>
      </c>
      <c r="K410" s="13" t="str">
        <f t="shared" si="112"/>
        <v>Twitter Web Client</v>
      </c>
      <c r="L410" s="12">
        <v>49129</v>
      </c>
      <c r="M410" s="12">
        <v>0</v>
      </c>
      <c r="N410" s="12">
        <v>677</v>
      </c>
      <c r="O410" s="23" t="s">
        <v>89</v>
      </c>
      <c r="P410" s="6">
        <v>41704.447048611109</v>
      </c>
      <c r="Q410" s="15" t="s">
        <v>612</v>
      </c>
      <c r="R410" s="17" t="s">
        <v>1565</v>
      </c>
      <c r="S410" s="16" t="s">
        <v>1184</v>
      </c>
      <c r="T410" s="11"/>
      <c r="U410" s="10" t="str">
        <f>HYPERLINK("https://pbs.twimg.com/profile_images/441511791210663936/QbI_6aXh.jpeg","View")</f>
        <v>View</v>
      </c>
    </row>
    <row r="411" spans="1:21" ht="40.799999999999997">
      <c r="A411" s="6">
        <v>43441.663854166662</v>
      </c>
      <c r="B411" s="7" t="str">
        <f>HYPERLINK("https://twitter.com/MuySorPrendida","@MuySorPrendida")</f>
        <v>@MuySorPrendida</v>
      </c>
      <c r="C411" s="8" t="s">
        <v>1566</v>
      </c>
      <c r="D411" s="9" t="s">
        <v>1567</v>
      </c>
      <c r="E411" s="10" t="str">
        <f>HYPERLINK("https://twitter.com/MuySorPrendida/status/1071055721771474944","1071055721771474944")</f>
        <v>1071055721771474944</v>
      </c>
      <c r="F411" s="16" t="s">
        <v>1568</v>
      </c>
      <c r="G411" s="11"/>
      <c r="H411" s="11"/>
      <c r="I411" s="12">
        <v>8</v>
      </c>
      <c r="J411" s="12">
        <v>10</v>
      </c>
      <c r="K411" s="13" t="str">
        <f>HYPERLINK("http://twitter.com/download/android","Twitter for Android")</f>
        <v>Twitter for Android</v>
      </c>
      <c r="L411" s="12">
        <v>1455</v>
      </c>
      <c r="M411" s="12">
        <v>1717</v>
      </c>
      <c r="N411" s="12">
        <v>5</v>
      </c>
      <c r="O411" s="14"/>
      <c r="P411" s="6">
        <v>43173.910381944443</v>
      </c>
      <c r="Q411" s="15" t="s">
        <v>1569</v>
      </c>
      <c r="R411" s="17" t="s">
        <v>1570</v>
      </c>
      <c r="S411" s="11"/>
      <c r="T411" s="11"/>
      <c r="U411" s="10" t="str">
        <f>HYPERLINK("https://pbs.twimg.com/profile_images/1069682605145104386/MdLFwRoj.jpg","View")</f>
        <v>View</v>
      </c>
    </row>
    <row r="412" spans="1:21" ht="51">
      <c r="A412" s="6">
        <v>43441.663240740745</v>
      </c>
      <c r="B412" s="7" t="str">
        <f>HYPERLINK("https://twitter.com/AfectadosAIDA","@AfectadosAIDA")</f>
        <v>@AfectadosAIDA</v>
      </c>
      <c r="C412" s="8" t="s">
        <v>1279</v>
      </c>
      <c r="D412" s="9" t="s">
        <v>1571</v>
      </c>
      <c r="E412" s="10" t="str">
        <f>HYPERLINK("https://twitter.com/AfectadosAIDA/status/1071055498466734082","1071055498466734082")</f>
        <v>1071055498466734082</v>
      </c>
      <c r="F412" s="11"/>
      <c r="G412" s="16" t="s">
        <v>1572</v>
      </c>
      <c r="H412" s="11"/>
      <c r="I412" s="12">
        <v>3</v>
      </c>
      <c r="J412" s="12">
        <v>1</v>
      </c>
      <c r="K412" s="13" t="str">
        <f>HYPERLINK("http://twitter.com","Twitter Web Client")</f>
        <v>Twitter Web Client</v>
      </c>
      <c r="L412" s="12">
        <v>1991</v>
      </c>
      <c r="M412" s="12">
        <v>5001</v>
      </c>
      <c r="N412" s="12">
        <v>8</v>
      </c>
      <c r="O412" s="14"/>
      <c r="P412" s="6">
        <v>43142.501956018517</v>
      </c>
      <c r="Q412" s="15" t="s">
        <v>618</v>
      </c>
      <c r="R412" s="17" t="s">
        <v>1281</v>
      </c>
      <c r="S412" s="16" t="s">
        <v>1282</v>
      </c>
      <c r="T412" s="11"/>
      <c r="U412" s="10" t="str">
        <f>HYPERLINK("https://pbs.twimg.com/profile_images/962650498796048384/RCQ9UHT6.jpg","View")</f>
        <v>View</v>
      </c>
    </row>
    <row r="413" spans="1:21" ht="30.6">
      <c r="A413" s="6">
        <v>43441.661435185189</v>
      </c>
      <c r="B413" s="7" t="str">
        <f>HYPERLINK("https://twitter.com/quierodiscrepar","@quierodiscrepar")</f>
        <v>@quierodiscrepar</v>
      </c>
      <c r="C413" s="8" t="s">
        <v>1573</v>
      </c>
      <c r="D413" s="9" t="s">
        <v>1574</v>
      </c>
      <c r="E413" s="10" t="str">
        <f>HYPERLINK("https://twitter.com/quierodiscrepar/status/1071054844931264513","1071054844931264513")</f>
        <v>1071054844931264513</v>
      </c>
      <c r="F413" s="16" t="s">
        <v>1575</v>
      </c>
      <c r="G413" s="11"/>
      <c r="H413" s="11"/>
      <c r="I413" s="12">
        <v>0</v>
      </c>
      <c r="J413" s="12">
        <v>1</v>
      </c>
      <c r="K413" s="13" t="str">
        <f>HYPERLINK("http://twitter.com/download/iphone","Twitter for iPhone")</f>
        <v>Twitter for iPhone</v>
      </c>
      <c r="L413" s="12">
        <v>124</v>
      </c>
      <c r="M413" s="12">
        <v>283</v>
      </c>
      <c r="N413" s="12">
        <v>5</v>
      </c>
      <c r="O413" s="14"/>
      <c r="P413" s="6">
        <v>42280.571296296301</v>
      </c>
      <c r="Q413" s="11"/>
      <c r="R413" s="17" t="s">
        <v>1576</v>
      </c>
      <c r="S413" s="11"/>
      <c r="T413" s="11"/>
      <c r="U413" s="10" t="str">
        <f>HYPERLINK("https://pbs.twimg.com/profile_images/650275966229577728/QCFdyQHf.jpg","View")</f>
        <v>View</v>
      </c>
    </row>
    <row r="414" spans="1:21" ht="51">
      <c r="A414" s="6">
        <v>43441.661157407405</v>
      </c>
      <c r="B414" s="7" t="str">
        <f>HYPERLINK("https://twitter.com/fpjerez","@fpjerez")</f>
        <v>@fpjerez</v>
      </c>
      <c r="C414" s="8" t="s">
        <v>1577</v>
      </c>
      <c r="D414" s="9" t="s">
        <v>1578</v>
      </c>
      <c r="E414" s="10" t="str">
        <f>HYPERLINK("https://twitter.com/fpjerez/status/1071054741294211073","1071054741294211073")</f>
        <v>1071054741294211073</v>
      </c>
      <c r="F414" s="16" t="s">
        <v>1579</v>
      </c>
      <c r="G414" s="11"/>
      <c r="H414" s="11"/>
      <c r="I414" s="12">
        <v>0</v>
      </c>
      <c r="J414" s="12">
        <v>1</v>
      </c>
      <c r="K414" s="13" t="str">
        <f>HYPERLINK("http://twitter.com","Twitter Web Client")</f>
        <v>Twitter Web Client</v>
      </c>
      <c r="L414" s="12">
        <v>1541</v>
      </c>
      <c r="M414" s="12">
        <v>751</v>
      </c>
      <c r="N414" s="12">
        <v>159</v>
      </c>
      <c r="O414" s="14"/>
      <c r="P414" s="6">
        <v>39601.395208333335</v>
      </c>
      <c r="Q414" s="15" t="s">
        <v>1580</v>
      </c>
      <c r="R414" s="17" t="s">
        <v>1581</v>
      </c>
      <c r="S414" s="16" t="s">
        <v>1582</v>
      </c>
      <c r="T414" s="11"/>
      <c r="U414" s="10" t="str">
        <f>HYPERLINK("https://pbs.twimg.com/profile_images/1047807700623667200/1_5hL_sC.jpg","View")</f>
        <v>View</v>
      </c>
    </row>
    <row r="415" spans="1:21" ht="20.399999999999999">
      <c r="A415" s="6">
        <v>43441.658333333333</v>
      </c>
      <c r="B415" s="7" t="str">
        <f>HYPERLINK("https://twitter.com/periodistadigit","@periodistadigit")</f>
        <v>@periodistadigit</v>
      </c>
      <c r="C415" s="8" t="s">
        <v>1181</v>
      </c>
      <c r="D415" s="9" t="s">
        <v>1182</v>
      </c>
      <c r="E415" s="10" t="str">
        <f>HYPERLINK("https://twitter.com/periodistadigit/status/1071053718462885889","1071053718462885889")</f>
        <v>1071053718462885889</v>
      </c>
      <c r="F415" s="16" t="s">
        <v>1583</v>
      </c>
      <c r="G415" s="11"/>
      <c r="H415" s="11"/>
      <c r="I415" s="12">
        <v>35</v>
      </c>
      <c r="J415" s="12">
        <v>45</v>
      </c>
      <c r="K415" s="13" t="str">
        <f>HYPERLINK("https://about.twitter.com/products/tweetdeck","TweetDeck")</f>
        <v>TweetDeck</v>
      </c>
      <c r="L415" s="12">
        <v>56221</v>
      </c>
      <c r="M415" s="12">
        <v>3786</v>
      </c>
      <c r="N415" s="12">
        <v>1472</v>
      </c>
      <c r="O415" s="23" t="s">
        <v>89</v>
      </c>
      <c r="P415" s="6">
        <v>40084.916296296295</v>
      </c>
      <c r="Q415" s="15" t="s">
        <v>612</v>
      </c>
      <c r="R415" s="17" t="s">
        <v>1183</v>
      </c>
      <c r="S415" s="16" t="s">
        <v>1184</v>
      </c>
      <c r="T415" s="11"/>
      <c r="U415" s="10" t="str">
        <f>HYPERLINK("https://pbs.twimg.com/profile_images/1913331873/periodista-digital.jpg","View")</f>
        <v>View</v>
      </c>
    </row>
    <row r="416" spans="1:21" ht="40.799999999999997">
      <c r="A416" s="6">
        <v>43441.652615740742</v>
      </c>
      <c r="B416" s="7" t="str">
        <f>HYPERLINK("https://twitter.com/isaacj","@isaacj")</f>
        <v>@isaacj</v>
      </c>
      <c r="C416" s="8" t="s">
        <v>1584</v>
      </c>
      <c r="D416" s="9" t="s">
        <v>1123</v>
      </c>
      <c r="E416" s="10" t="str">
        <f>HYPERLINK("https://twitter.com/isaacj/status/1071051647411982336","1071051647411982336")</f>
        <v>1071051647411982336</v>
      </c>
      <c r="F416" s="16" t="s">
        <v>735</v>
      </c>
      <c r="G416" s="11"/>
      <c r="H416" s="11"/>
      <c r="I416" s="12">
        <v>3</v>
      </c>
      <c r="J416" s="12">
        <v>6</v>
      </c>
      <c r="K416" s="13" t="str">
        <f>HYPERLINK("http://twitter.com","Twitter Web Client")</f>
        <v>Twitter Web Client</v>
      </c>
      <c r="L416" s="12">
        <v>6922</v>
      </c>
      <c r="M416" s="12">
        <v>1958</v>
      </c>
      <c r="N416" s="12">
        <v>313</v>
      </c>
      <c r="O416" s="14"/>
      <c r="P416" s="6">
        <v>39396.002615740741</v>
      </c>
      <c r="Q416" s="11"/>
      <c r="R416" s="17" t="s">
        <v>1585</v>
      </c>
      <c r="S416" s="16" t="s">
        <v>1586</v>
      </c>
      <c r="T416" s="11"/>
      <c r="U416" s="10" t="str">
        <f>HYPERLINK("https://pbs.twimg.com/profile_images/1064871384873078784/u-JgAUwP.jpg","View")</f>
        <v>View</v>
      </c>
    </row>
    <row r="417" spans="1:21" ht="20.399999999999999">
      <c r="A417" s="6">
        <v>43441.65115740741</v>
      </c>
      <c r="B417" s="7" t="str">
        <f>HYPERLINK("https://twitter.com/negativo_stats","@negativo_stats")</f>
        <v>@negativo_stats</v>
      </c>
      <c r="C417" s="8" t="s">
        <v>182</v>
      </c>
      <c r="D417" s="9" t="s">
        <v>183</v>
      </c>
      <c r="E417" s="10" t="str">
        <f>HYPERLINK("https://twitter.com/negativo_stats/status/1071051116727754752","1071051116727754752")</f>
        <v>1071051116727754752</v>
      </c>
      <c r="F417" s="11"/>
      <c r="G417" s="16" t="s">
        <v>1587</v>
      </c>
      <c r="H417" s="11"/>
      <c r="I417" s="12">
        <v>0</v>
      </c>
      <c r="J417" s="12">
        <v>0</v>
      </c>
      <c r="K417" s="13" t="str">
        <f>HYPERLINK("http://kosmonautica.es","Política Negativa")</f>
        <v>Política Negativa</v>
      </c>
      <c r="L417" s="12">
        <v>268</v>
      </c>
      <c r="M417" s="12">
        <v>788</v>
      </c>
      <c r="N417" s="12">
        <v>2</v>
      </c>
      <c r="O417" s="14"/>
      <c r="P417" s="6">
        <v>42171.770601851851</v>
      </c>
      <c r="Q417" s="15" t="s">
        <v>185</v>
      </c>
      <c r="R417" s="17" t="s">
        <v>186</v>
      </c>
      <c r="S417" s="11"/>
      <c r="T417" s="11"/>
      <c r="U417" s="10" t="str">
        <f>HYPERLINK("https://pbs.twimg.com/profile_images/628553625984438272/e-VHyhP1.png","View")</f>
        <v>View</v>
      </c>
    </row>
    <row r="418" spans="1:21" ht="51">
      <c r="A418" s="6">
        <v>43441.650196759263</v>
      </c>
      <c r="B418" s="7" t="str">
        <f>HYPERLINK("https://twitter.com/AndresSuarezB_","@AndresSuarezB_")</f>
        <v>@AndresSuarezB_</v>
      </c>
      <c r="C418" s="8" t="s">
        <v>1588</v>
      </c>
      <c r="D418" s="9" t="s">
        <v>1589</v>
      </c>
      <c r="E418" s="10" t="str">
        <f>HYPERLINK("https://twitter.com/AndresSuarezB_/status/1071050769070284802","1071050769070284802")</f>
        <v>1071050769070284802</v>
      </c>
      <c r="F418" s="11"/>
      <c r="G418" s="11"/>
      <c r="H418" s="11"/>
      <c r="I418" s="12">
        <v>2</v>
      </c>
      <c r="J418" s="12">
        <v>8</v>
      </c>
      <c r="K418" s="13" t="str">
        <f>HYPERLINK("http://twitter.com","Twitter Web Client")</f>
        <v>Twitter Web Client</v>
      </c>
      <c r="L418" s="12">
        <v>1841</v>
      </c>
      <c r="M418" s="12">
        <v>1766</v>
      </c>
      <c r="N418" s="12">
        <v>39</v>
      </c>
      <c r="O418" s="14"/>
      <c r="P418" s="6">
        <v>39968.971435185187</v>
      </c>
      <c r="Q418" s="15" t="s">
        <v>1590</v>
      </c>
      <c r="R418" s="17" t="s">
        <v>1591</v>
      </c>
      <c r="S418" s="16" t="s">
        <v>1592</v>
      </c>
      <c r="T418" s="11"/>
      <c r="U418" s="10" t="str">
        <f>HYPERLINK("https://pbs.twimg.com/profile_images/1012245140654739458/HZXkeD1y.jpg","View")</f>
        <v>View</v>
      </c>
    </row>
    <row r="419" spans="1:21" ht="51">
      <c r="A419" s="6">
        <v>43441.643113425926</v>
      </c>
      <c r="B419" s="7" t="str">
        <f>HYPERLINK("https://twitter.com/OscarJugon","@OscarJugon")</f>
        <v>@OscarJugon</v>
      </c>
      <c r="C419" s="8" t="s">
        <v>1593</v>
      </c>
      <c r="D419" s="9" t="s">
        <v>1594</v>
      </c>
      <c r="E419" s="10" t="str">
        <f>HYPERLINK("https://twitter.com/OscarJugon/status/1071048205486440449","1071048205486440449")</f>
        <v>1071048205486440449</v>
      </c>
      <c r="F419" s="15" t="s">
        <v>789</v>
      </c>
      <c r="G419" s="11"/>
      <c r="H419" s="11"/>
      <c r="I419" s="12">
        <v>0</v>
      </c>
      <c r="J419" s="12">
        <v>0</v>
      </c>
      <c r="K419" s="13" t="str">
        <f>HYPERLINK("https://mobile.twitter.com","Twitter Lite")</f>
        <v>Twitter Lite</v>
      </c>
      <c r="L419" s="12">
        <v>805</v>
      </c>
      <c r="M419" s="12">
        <v>1889</v>
      </c>
      <c r="N419" s="12">
        <v>24</v>
      </c>
      <c r="O419" s="14"/>
      <c r="P419" s="6">
        <v>40690.458136574074</v>
      </c>
      <c r="Q419" s="11"/>
      <c r="R419" s="18"/>
      <c r="S419" s="16" t="s">
        <v>1595</v>
      </c>
      <c r="T419" s="11"/>
      <c r="U419" s="10" t="str">
        <f>HYPERLINK("https://pbs.twimg.com/profile_images/983027444671303682/J232Uene.jpg","View")</f>
        <v>View</v>
      </c>
    </row>
    <row r="420" spans="1:21" ht="51">
      <c r="A420" s="6">
        <v>43441.641041666662</v>
      </c>
      <c r="B420" s="7" t="str">
        <f>HYPERLINK("https://twitter.com/bobkomyns_","@bobkomyns_")</f>
        <v>@bobkomyns_</v>
      </c>
      <c r="C420" s="8" t="s">
        <v>1596</v>
      </c>
      <c r="D420" s="9" t="s">
        <v>1597</v>
      </c>
      <c r="E420" s="10" t="str">
        <f>HYPERLINK("https://twitter.com/bobkomyns_/status/1071047452885696512","1071047452885696512")</f>
        <v>1071047452885696512</v>
      </c>
      <c r="F420" s="11"/>
      <c r="G420" s="11"/>
      <c r="H420" s="11"/>
      <c r="I420" s="12">
        <v>0</v>
      </c>
      <c r="J420" s="12">
        <v>0</v>
      </c>
      <c r="K420" s="13" t="str">
        <f t="shared" ref="K420:K421" si="113">HYPERLINK("http://twitter.com/download/android","Twitter for Android")</f>
        <v>Twitter for Android</v>
      </c>
      <c r="L420" s="12">
        <v>146</v>
      </c>
      <c r="M420" s="12">
        <v>363</v>
      </c>
      <c r="N420" s="12">
        <v>5</v>
      </c>
      <c r="O420" s="14"/>
      <c r="P420" s="6">
        <v>41983.567800925928</v>
      </c>
      <c r="Q420" s="15" t="s">
        <v>612</v>
      </c>
      <c r="R420" s="17" t="s">
        <v>1598</v>
      </c>
      <c r="S420" s="11"/>
      <c r="T420" s="11"/>
      <c r="U420" s="10" t="str">
        <f>HYPERLINK("https://pbs.twimg.com/profile_images/1042715681903570944/sUnbUTs-.jpg","View")</f>
        <v>View</v>
      </c>
    </row>
    <row r="421" spans="1:21" ht="51">
      <c r="A421" s="6">
        <v>43441.640833333338</v>
      </c>
      <c r="B421" s="7" t="str">
        <f>HYPERLINK("https://twitter.com/abian15medina","@abian15medina")</f>
        <v>@abian15medina</v>
      </c>
      <c r="C421" s="8" t="s">
        <v>1599</v>
      </c>
      <c r="D421" s="9" t="s">
        <v>1600</v>
      </c>
      <c r="E421" s="10" t="str">
        <f>HYPERLINK("https://twitter.com/abian15medina/status/1071047378571091968","1071047378571091968")</f>
        <v>1071047378571091968</v>
      </c>
      <c r="F421" s="11"/>
      <c r="G421" s="11"/>
      <c r="H421" s="11"/>
      <c r="I421" s="12">
        <v>0</v>
      </c>
      <c r="J421" s="12">
        <v>0</v>
      </c>
      <c r="K421" s="13" t="str">
        <f t="shared" si="113"/>
        <v>Twitter for Android</v>
      </c>
      <c r="L421" s="12">
        <v>168</v>
      </c>
      <c r="M421" s="12">
        <v>258</v>
      </c>
      <c r="N421" s="12">
        <v>1</v>
      </c>
      <c r="O421" s="14"/>
      <c r="P421" s="6">
        <v>41452.809189814812</v>
      </c>
      <c r="Q421" s="11"/>
      <c r="R421" s="17" t="s">
        <v>1601</v>
      </c>
      <c r="S421" s="11"/>
      <c r="T421" s="11"/>
      <c r="U421" s="10" t="str">
        <f>HYPERLINK("https://pbs.twimg.com/profile_images/1071119849596878848/dxVzU8WU.jpg","View")</f>
        <v>View</v>
      </c>
    </row>
    <row r="422" spans="1:21" ht="40.799999999999997">
      <c r="A422" s="6">
        <v>43441.640069444446</v>
      </c>
      <c r="B422" s="7" t="str">
        <f>HYPERLINK("https://twitter.com/Pedrokupa","@Pedrokupa")</f>
        <v>@Pedrokupa</v>
      </c>
      <c r="C422" s="8" t="s">
        <v>1602</v>
      </c>
      <c r="D422" s="9" t="s">
        <v>1603</v>
      </c>
      <c r="E422" s="10" t="str">
        <f>HYPERLINK("https://twitter.com/Pedrokupa/status/1071047100522205185","1071047100522205185")</f>
        <v>1071047100522205185</v>
      </c>
      <c r="F422" s="11"/>
      <c r="G422" s="11"/>
      <c r="H422" s="11"/>
      <c r="I422" s="12">
        <v>0</v>
      </c>
      <c r="J422" s="12">
        <v>0</v>
      </c>
      <c r="K422" s="13" t="str">
        <f>HYPERLINK("http://twitter.com","Twitter Web Client")</f>
        <v>Twitter Web Client</v>
      </c>
      <c r="L422" s="12">
        <v>1134</v>
      </c>
      <c r="M422" s="12">
        <v>204</v>
      </c>
      <c r="N422" s="12">
        <v>11</v>
      </c>
      <c r="O422" s="14"/>
      <c r="P422" s="6">
        <v>41148.026273148149</v>
      </c>
      <c r="Q422" s="15" t="s">
        <v>1604</v>
      </c>
      <c r="R422" s="17" t="s">
        <v>1605</v>
      </c>
      <c r="S422" s="11"/>
      <c r="T422" s="11"/>
      <c r="U422" s="10" t="str">
        <f>HYPERLINK("https://pbs.twimg.com/profile_images/1024057409839480832/LmBrp5MR.jpg","View")</f>
        <v>View</v>
      </c>
    </row>
    <row r="423" spans="1:21" ht="13.2">
      <c r="A423" s="6">
        <v>43441.639733796299</v>
      </c>
      <c r="B423" s="7" t="str">
        <f>HYPERLINK("https://twitter.com/alcaide345","@alcaide345")</f>
        <v>@alcaide345</v>
      </c>
      <c r="C423" s="8" t="s">
        <v>1508</v>
      </c>
      <c r="D423" s="9" t="s">
        <v>1606</v>
      </c>
      <c r="E423" s="10" t="str">
        <f>HYPERLINK("https://twitter.com/alcaide345/status/1071046980363792384","1071046980363792384")</f>
        <v>1071046980363792384</v>
      </c>
      <c r="F423" s="16" t="s">
        <v>1607</v>
      </c>
      <c r="G423" s="11"/>
      <c r="H423" s="11"/>
      <c r="I423" s="12">
        <v>0</v>
      </c>
      <c r="J423" s="12">
        <v>0</v>
      </c>
      <c r="K423" s="13" t="str">
        <f>HYPERLINK("http://twitter.com/download/android","Twitter for Android")</f>
        <v>Twitter for Android</v>
      </c>
      <c r="L423" s="12">
        <v>35</v>
      </c>
      <c r="M423" s="12">
        <v>84</v>
      </c>
      <c r="N423" s="12">
        <v>0</v>
      </c>
      <c r="O423" s="14"/>
      <c r="P423" s="6">
        <v>41159.867800925924</v>
      </c>
      <c r="Q423" s="11"/>
      <c r="R423" s="18"/>
      <c r="S423" s="11"/>
      <c r="T423" s="11"/>
      <c r="U423" s="10" t="str">
        <f>HYPERLINK("https://pbs.twimg.com/profile_images/911679672039170049/t-WmWiJJ.jpg","View")</f>
        <v>View</v>
      </c>
    </row>
    <row r="424" spans="1:21" ht="30.6">
      <c r="A424" s="6">
        <v>43441.638148148151</v>
      </c>
      <c r="B424" s="7" t="str">
        <f>HYPERLINK("https://twitter.com/TBalears","@TBalears")</f>
        <v>@TBalears</v>
      </c>
      <c r="C424" s="24" t="s">
        <v>1608</v>
      </c>
      <c r="D424" s="9" t="s">
        <v>1609</v>
      </c>
      <c r="E424" s="10" t="str">
        <f>HYPERLINK("https://twitter.com/TBalears/status/1071046403936391168","1071046403936391168")</f>
        <v>1071046403936391168</v>
      </c>
      <c r="F424" s="16" t="s">
        <v>1610</v>
      </c>
      <c r="G424" s="16" t="s">
        <v>1611</v>
      </c>
      <c r="H424" s="11"/>
      <c r="I424" s="12">
        <v>9</v>
      </c>
      <c r="J424" s="12">
        <v>7</v>
      </c>
      <c r="K424" s="13" t="str">
        <f>HYPERLINK("http://twitter.com","Twitter Web Client")</f>
        <v>Twitter Web Client</v>
      </c>
      <c r="L424" s="12">
        <v>809</v>
      </c>
      <c r="M424" s="12">
        <v>1282</v>
      </c>
      <c r="N424" s="12">
        <v>5</v>
      </c>
      <c r="O424" s="14"/>
      <c r="P424" s="6">
        <v>42849.594525462962</v>
      </c>
      <c r="Q424" s="15" t="s">
        <v>1612</v>
      </c>
      <c r="R424" s="17" t="s">
        <v>1613</v>
      </c>
      <c r="S424" s="16" t="s">
        <v>1614</v>
      </c>
      <c r="T424" s="11"/>
      <c r="U424" s="10" t="str">
        <f>HYPERLINK("https://pbs.twimg.com/profile_images/1056501575538143232/Q1xLgSnI.jpg","View")</f>
        <v>View</v>
      </c>
    </row>
    <row r="425" spans="1:21" ht="61.2">
      <c r="A425" s="6">
        <v>43441.635937500003</v>
      </c>
      <c r="B425" s="7" t="str">
        <f>HYPERLINK("https://twitter.com/juangar_7","@juangar_7")</f>
        <v>@juangar_7</v>
      </c>
      <c r="C425" s="8" t="s">
        <v>1615</v>
      </c>
      <c r="D425" s="9" t="s">
        <v>1616</v>
      </c>
      <c r="E425" s="10" t="str">
        <f>HYPERLINK("https://twitter.com/juangar_7/status/1071045604871204865","1071045604871204865")</f>
        <v>1071045604871204865</v>
      </c>
      <c r="F425" s="11"/>
      <c r="G425" s="11"/>
      <c r="H425" s="11"/>
      <c r="I425" s="12">
        <v>0</v>
      </c>
      <c r="J425" s="12">
        <v>1</v>
      </c>
      <c r="K425" s="13" t="str">
        <f t="shared" ref="K425:K426" si="114">HYPERLINK("http://twitter.com/download/android","Twitter for Android")</f>
        <v>Twitter for Android</v>
      </c>
      <c r="L425" s="12">
        <v>402</v>
      </c>
      <c r="M425" s="12">
        <v>158</v>
      </c>
      <c r="N425" s="12">
        <v>10</v>
      </c>
      <c r="O425" s="14"/>
      <c r="P425" s="6">
        <v>41001.269687499997</v>
      </c>
      <c r="Q425" s="15" t="s">
        <v>1617</v>
      </c>
      <c r="R425" s="17" t="s">
        <v>1618</v>
      </c>
      <c r="S425" s="11"/>
      <c r="T425" s="11"/>
      <c r="U425" s="10" t="str">
        <f>HYPERLINK("https://pbs.twimg.com/profile_images/950062018815459328/cZ6297iq.jpg","View")</f>
        <v>View</v>
      </c>
    </row>
    <row r="426" spans="1:21" ht="51">
      <c r="A426" s="6">
        <v>43441.635150462964</v>
      </c>
      <c r="B426" s="7" t="str">
        <f>HYPERLINK("https://twitter.com/piratakojo","@piratakojo")</f>
        <v>@piratakojo</v>
      </c>
      <c r="C426" s="8" t="s">
        <v>1619</v>
      </c>
      <c r="D426" s="9" t="s">
        <v>1620</v>
      </c>
      <c r="E426" s="10" t="str">
        <f>HYPERLINK("https://twitter.com/piratakojo/status/1071045319125860353","1071045319125860353")</f>
        <v>1071045319125860353</v>
      </c>
      <c r="F426" s="11"/>
      <c r="G426" s="16" t="s">
        <v>1621</v>
      </c>
      <c r="H426" s="11"/>
      <c r="I426" s="12">
        <v>0</v>
      </c>
      <c r="J426" s="12">
        <v>0</v>
      </c>
      <c r="K426" s="13" t="str">
        <f t="shared" si="114"/>
        <v>Twitter for Android</v>
      </c>
      <c r="L426" s="12">
        <v>224</v>
      </c>
      <c r="M426" s="12">
        <v>165</v>
      </c>
      <c r="N426" s="12">
        <v>3</v>
      </c>
      <c r="O426" s="14"/>
      <c r="P426" s="6">
        <v>41767.460439814815</v>
      </c>
      <c r="Q426" s="11"/>
      <c r="R426" s="17" t="s">
        <v>1622</v>
      </c>
      <c r="S426" s="11"/>
      <c r="T426" s="11"/>
      <c r="U426" s="10" t="str">
        <f>HYPERLINK("https://pbs.twimg.com/profile_images/721598424865488897/UukwYKSC.jpg","View")</f>
        <v>View</v>
      </c>
    </row>
    <row r="427" spans="1:21" ht="20.399999999999999">
      <c r="A427" s="6">
        <v>43441.635081018518</v>
      </c>
      <c r="B427" s="7" t="str">
        <f>HYPERLINK("https://twitter.com/TeodoroDelValle","@TeodoroDelValle")</f>
        <v>@TeodoroDelValle</v>
      </c>
      <c r="C427" s="8" t="s">
        <v>621</v>
      </c>
      <c r="D427" s="9" t="s">
        <v>1623</v>
      </c>
      <c r="E427" s="10" t="str">
        <f>HYPERLINK("https://twitter.com/TeodoroDelValle/status/1071045292093571073","1071045292093571073")</f>
        <v>1071045292093571073</v>
      </c>
      <c r="F427" s="16" t="s">
        <v>1624</v>
      </c>
      <c r="G427" s="11"/>
      <c r="H427" s="11"/>
      <c r="I427" s="12">
        <v>1</v>
      </c>
      <c r="J427" s="12">
        <v>1</v>
      </c>
      <c r="K427" s="13" t="str">
        <f>HYPERLINK("http://instagram.com","Instagram")</f>
        <v>Instagram</v>
      </c>
      <c r="L427" s="12">
        <v>560</v>
      </c>
      <c r="M427" s="12">
        <v>1454</v>
      </c>
      <c r="N427" s="12">
        <v>0</v>
      </c>
      <c r="O427" s="14"/>
      <c r="P427" s="6">
        <v>40678.782349537039</v>
      </c>
      <c r="Q427" s="15" t="s">
        <v>624</v>
      </c>
      <c r="R427" s="17" t="s">
        <v>625</v>
      </c>
      <c r="S427" s="16" t="s">
        <v>626</v>
      </c>
      <c r="T427" s="11"/>
      <c r="U427" s="10" t="str">
        <f>HYPERLINK("https://pbs.twimg.com/profile_images/1070365677297504256/4_lunmbm.jpg","View")</f>
        <v>View</v>
      </c>
    </row>
    <row r="428" spans="1:21" ht="71.400000000000006">
      <c r="A428" s="6">
        <v>43441.633692129632</v>
      </c>
      <c r="B428" s="7" t="str">
        <f>HYPERLINK("https://twitter.com/jubileta7","@jubileta7")</f>
        <v>@jubileta7</v>
      </c>
      <c r="C428" s="8" t="s">
        <v>1625</v>
      </c>
      <c r="D428" s="9" t="s">
        <v>1626</v>
      </c>
      <c r="E428" s="10" t="str">
        <f>HYPERLINK("https://twitter.com/jubileta7/status/1071044790307954688","1071044790307954688")</f>
        <v>1071044790307954688</v>
      </c>
      <c r="F428" s="16" t="s">
        <v>126</v>
      </c>
      <c r="G428" s="16" t="s">
        <v>127</v>
      </c>
      <c r="H428" s="11"/>
      <c r="I428" s="12">
        <v>0</v>
      </c>
      <c r="J428" s="12">
        <v>0</v>
      </c>
      <c r="K428" s="13" t="str">
        <f>HYPERLINK("http://twitter.com","Twitter Web Client")</f>
        <v>Twitter Web Client</v>
      </c>
      <c r="L428" s="12">
        <v>54</v>
      </c>
      <c r="M428" s="12">
        <v>185</v>
      </c>
      <c r="N428" s="12">
        <v>1</v>
      </c>
      <c r="O428" s="14"/>
      <c r="P428" s="6">
        <v>42661.934641203705</v>
      </c>
      <c r="Q428" s="15" t="s">
        <v>960</v>
      </c>
      <c r="R428" s="17" t="s">
        <v>1627</v>
      </c>
      <c r="S428" s="11"/>
      <c r="T428" s="11"/>
      <c r="U428" s="23" t="s">
        <v>437</v>
      </c>
    </row>
    <row r="429" spans="1:21" ht="40.799999999999997">
      <c r="A429" s="6">
        <v>43441.633622685185</v>
      </c>
      <c r="B429" s="7" t="str">
        <f>HYPERLINK("https://twitter.com/CarlosOB62","@CarlosOB62")</f>
        <v>@CarlosOB62</v>
      </c>
      <c r="C429" s="8" t="s">
        <v>1628</v>
      </c>
      <c r="D429" s="9" t="s">
        <v>1629</v>
      </c>
      <c r="E429" s="10" t="str">
        <f>HYPERLINK("https://twitter.com/CarlosOB62/status/1071044765238640640","1071044765238640640")</f>
        <v>1071044765238640640</v>
      </c>
      <c r="F429" s="11"/>
      <c r="G429" s="11"/>
      <c r="H429" s="11"/>
      <c r="I429" s="12">
        <v>0</v>
      </c>
      <c r="J429" s="12">
        <v>0</v>
      </c>
      <c r="K429" s="13" t="str">
        <f>HYPERLINK("http://twitter.com/download/android","Twitter for Android")</f>
        <v>Twitter for Android</v>
      </c>
      <c r="L429" s="12">
        <v>304</v>
      </c>
      <c r="M429" s="12">
        <v>434</v>
      </c>
      <c r="N429" s="12">
        <v>0</v>
      </c>
      <c r="O429" s="14"/>
      <c r="P429" s="6">
        <v>40434.558240740742</v>
      </c>
      <c r="Q429" s="15" t="s">
        <v>1630</v>
      </c>
      <c r="R429" s="17" t="s">
        <v>1631</v>
      </c>
      <c r="S429" s="11"/>
      <c r="T429" s="11"/>
      <c r="U429" s="10" t="str">
        <f>HYPERLINK("https://pbs.twimg.com/profile_images/973538093428027393/QG-gRwGH.jpg","View")</f>
        <v>View</v>
      </c>
    </row>
    <row r="430" spans="1:21" ht="40.799999999999997">
      <c r="A430" s="6">
        <v>43441.632974537039</v>
      </c>
      <c r="B430" s="7" t="str">
        <f>HYPERLINK("https://twitter.com/charing_xx","@charing_xx")</f>
        <v>@charing_xx</v>
      </c>
      <c r="C430" s="8" t="s">
        <v>1632</v>
      </c>
      <c r="D430" s="9" t="s">
        <v>1633</v>
      </c>
      <c r="E430" s="10" t="str">
        <f>HYPERLINK("https://twitter.com/charing_xx/status/1071044530919694337","1071044530919694337")</f>
        <v>1071044530919694337</v>
      </c>
      <c r="F430" s="11"/>
      <c r="G430" s="11"/>
      <c r="H430" s="11"/>
      <c r="I430" s="12">
        <v>1</v>
      </c>
      <c r="J430" s="12">
        <v>0</v>
      </c>
      <c r="K430" s="13" t="str">
        <f>HYPERLINK("http://twitter.com/download/iphone","Twitter for iPhone")</f>
        <v>Twitter for iPhone</v>
      </c>
      <c r="L430" s="12">
        <v>42</v>
      </c>
      <c r="M430" s="12">
        <v>153</v>
      </c>
      <c r="N430" s="12">
        <v>3</v>
      </c>
      <c r="O430" s="14"/>
      <c r="P430" s="6">
        <v>42190.467708333337</v>
      </c>
      <c r="Q430" s="15" t="s">
        <v>1634</v>
      </c>
      <c r="R430" s="17" t="s">
        <v>1635</v>
      </c>
      <c r="S430" s="16" t="s">
        <v>1636</v>
      </c>
      <c r="T430" s="11"/>
      <c r="U430" s="10" t="str">
        <f>HYPERLINK("https://pbs.twimg.com/profile_images/1010974797210243077/iIL0GT6A.jpg","View")</f>
        <v>View</v>
      </c>
    </row>
    <row r="431" spans="1:21" ht="30.6">
      <c r="A431" s="6">
        <v>43441.630925925929</v>
      </c>
      <c r="B431" s="7" t="str">
        <f>HYPERLINK("https://twitter.com/eduardoinda","@eduardoinda")</f>
        <v>@eduardoinda</v>
      </c>
      <c r="C431" s="8" t="s">
        <v>644</v>
      </c>
      <c r="D431" s="9" t="s">
        <v>1637</v>
      </c>
      <c r="E431" s="10" t="str">
        <f>HYPERLINK("https://twitter.com/eduardoinda/status/1071043787064000512","1071043787064000512")</f>
        <v>1071043787064000512</v>
      </c>
      <c r="F431" s="16" t="s">
        <v>1638</v>
      </c>
      <c r="G431" s="11"/>
      <c r="H431" s="11"/>
      <c r="I431" s="12">
        <v>117</v>
      </c>
      <c r="J431" s="12">
        <v>142</v>
      </c>
      <c r="K431" s="13" t="str">
        <f>HYPERLINK("https://www.echobox.com","Echobox Social")</f>
        <v>Echobox Social</v>
      </c>
      <c r="L431" s="12">
        <v>87227</v>
      </c>
      <c r="M431" s="12">
        <v>136</v>
      </c>
      <c r="N431" s="12">
        <v>649</v>
      </c>
      <c r="O431" s="23" t="s">
        <v>89</v>
      </c>
      <c r="P431" s="6">
        <v>42412.515844907408</v>
      </c>
      <c r="Q431" s="11"/>
      <c r="R431" s="17" t="s">
        <v>647</v>
      </c>
      <c r="S431" s="16" t="s">
        <v>648</v>
      </c>
      <c r="T431" s="11"/>
      <c r="U431" s="10" t="str">
        <f>HYPERLINK("https://pbs.twimg.com/profile_images/698106393526722560/hA9Itqr5.jpg","View")</f>
        <v>View</v>
      </c>
    </row>
    <row r="432" spans="1:21" ht="51">
      <c r="A432" s="6">
        <v>43441.630069444444</v>
      </c>
      <c r="B432" s="7" t="str">
        <f>HYPERLINK("https://twitter.com/JotaEmeEme","@JotaEmeEme")</f>
        <v>@JotaEmeEme</v>
      </c>
      <c r="C432" s="8" t="s">
        <v>1639</v>
      </c>
      <c r="D432" s="9" t="s">
        <v>1640</v>
      </c>
      <c r="E432" s="10" t="str">
        <f>HYPERLINK("https://twitter.com/JotaEmeEme/status/1071043477134368771","1071043477134368771")</f>
        <v>1071043477134368771</v>
      </c>
      <c r="F432" s="15" t="s">
        <v>789</v>
      </c>
      <c r="G432" s="11"/>
      <c r="H432" s="11"/>
      <c r="I432" s="12">
        <v>0</v>
      </c>
      <c r="J432" s="12">
        <v>0</v>
      </c>
      <c r="K432" s="13" t="str">
        <f t="shared" ref="K432:K433" si="115">HYPERLINK("http://twitter.com/download/android","Twitter for Android")</f>
        <v>Twitter for Android</v>
      </c>
      <c r="L432" s="12">
        <v>46</v>
      </c>
      <c r="M432" s="12">
        <v>67</v>
      </c>
      <c r="N432" s="12">
        <v>0</v>
      </c>
      <c r="O432" s="14"/>
      <c r="P432" s="6">
        <v>40783.696157407408</v>
      </c>
      <c r="Q432" s="15" t="s">
        <v>612</v>
      </c>
      <c r="R432" s="17" t="s">
        <v>1641</v>
      </c>
      <c r="S432" s="11"/>
      <c r="T432" s="11"/>
      <c r="U432" s="10" t="str">
        <f>HYPERLINK("https://pbs.twimg.com/profile_images/1069640204896604161/oPVMCd-c.jpg","View")</f>
        <v>View</v>
      </c>
    </row>
    <row r="433" spans="1:21" ht="40.799999999999997">
      <c r="A433" s="6">
        <v>43441.629270833335</v>
      </c>
      <c r="B433" s="7" t="str">
        <f>HYPERLINK("https://twitter.com/patente_de","@patente_de")</f>
        <v>@patente_de</v>
      </c>
      <c r="C433" s="8" t="s">
        <v>1642</v>
      </c>
      <c r="D433" s="9" t="s">
        <v>1643</v>
      </c>
      <c r="E433" s="10" t="str">
        <f>HYPERLINK("https://twitter.com/patente_de/status/1071043187421167617","1071043187421167617")</f>
        <v>1071043187421167617</v>
      </c>
      <c r="F433" s="11"/>
      <c r="G433" s="16" t="s">
        <v>1644</v>
      </c>
      <c r="H433" s="11"/>
      <c r="I433" s="12">
        <v>2</v>
      </c>
      <c r="J433" s="12">
        <v>1</v>
      </c>
      <c r="K433" s="13" t="str">
        <f t="shared" si="115"/>
        <v>Twitter for Android</v>
      </c>
      <c r="L433" s="12">
        <v>520</v>
      </c>
      <c r="M433" s="12">
        <v>771</v>
      </c>
      <c r="N433" s="12">
        <v>3</v>
      </c>
      <c r="O433" s="14"/>
      <c r="P433" s="6">
        <v>42864.501261574071</v>
      </c>
      <c r="Q433" s="11"/>
      <c r="R433" s="17" t="s">
        <v>1645</v>
      </c>
      <c r="S433" s="11"/>
      <c r="T433" s="11"/>
      <c r="U433" s="10" t="str">
        <f>HYPERLINK("https://pbs.twimg.com/profile_images/971998468058198019/9kAz-zD9.jpg","View")</f>
        <v>View</v>
      </c>
    </row>
    <row r="434" spans="1:21" ht="61.2">
      <c r="A434" s="6">
        <v>43441.628217592588</v>
      </c>
      <c r="B434" s="7" t="str">
        <f>HYPERLINK("https://twitter.com/AgustindeZayas1","@AgustindeZayas1")</f>
        <v>@AgustindeZayas1</v>
      </c>
      <c r="C434" s="8" t="s">
        <v>1646</v>
      </c>
      <c r="D434" s="9" t="s">
        <v>1647</v>
      </c>
      <c r="E434" s="10" t="str">
        <f>HYPERLINK("https://twitter.com/AgustindeZayas1/status/1071042805445857280","1071042805445857280")</f>
        <v>1071042805445857280</v>
      </c>
      <c r="F434" s="15" t="s">
        <v>1648</v>
      </c>
      <c r="G434" s="11"/>
      <c r="H434" s="11"/>
      <c r="I434" s="12">
        <v>0</v>
      </c>
      <c r="J434" s="12">
        <v>0</v>
      </c>
      <c r="K434" s="13" t="str">
        <f>HYPERLINK("http://twitter.com","Twitter Web Client")</f>
        <v>Twitter Web Client</v>
      </c>
      <c r="L434" s="12">
        <v>9</v>
      </c>
      <c r="M434" s="12">
        <v>80</v>
      </c>
      <c r="N434" s="12">
        <v>0</v>
      </c>
      <c r="O434" s="14"/>
      <c r="P434" s="6">
        <v>43441.538668981477</v>
      </c>
      <c r="Q434" s="15" t="s">
        <v>709</v>
      </c>
      <c r="R434" s="17" t="s">
        <v>1649</v>
      </c>
      <c r="S434" s="11"/>
      <c r="T434" s="11"/>
      <c r="U434" s="10" t="str">
        <f>HYPERLINK("https://pbs.twimg.com/profile_images/1071127788978094080/lF_LZaE4.jpg","View")</f>
        <v>View</v>
      </c>
    </row>
    <row r="435" spans="1:21" ht="81.599999999999994">
      <c r="A435" s="6">
        <v>43441.626562500001</v>
      </c>
      <c r="B435" s="7" t="str">
        <f>HYPERLINK("https://twitter.com/JordiakaLaJ","@JordiakaLaJ")</f>
        <v>@JordiakaLaJ</v>
      </c>
      <c r="C435" s="8" t="s">
        <v>1650</v>
      </c>
      <c r="D435" s="9" t="s">
        <v>1651</v>
      </c>
      <c r="E435" s="10" t="str">
        <f>HYPERLINK("https://twitter.com/JordiakaLaJ/status/1071042204527927297","1071042204527927297")</f>
        <v>1071042204527927297</v>
      </c>
      <c r="F435" s="16" t="s">
        <v>1652</v>
      </c>
      <c r="G435" s="16" t="s">
        <v>1653</v>
      </c>
      <c r="H435" s="11"/>
      <c r="I435" s="12">
        <v>0</v>
      </c>
      <c r="J435" s="12">
        <v>0</v>
      </c>
      <c r="K435" s="13" t="str">
        <f>HYPERLINK("http://twitter.com/download/android","Twitter for Android")</f>
        <v>Twitter for Android</v>
      </c>
      <c r="L435" s="12">
        <v>373</v>
      </c>
      <c r="M435" s="12">
        <v>384</v>
      </c>
      <c r="N435" s="12">
        <v>16</v>
      </c>
      <c r="O435" s="14"/>
      <c r="P435" s="6">
        <v>40671.012557870374</v>
      </c>
      <c r="Q435" s="15" t="s">
        <v>1654</v>
      </c>
      <c r="R435" s="17" t="s">
        <v>1655</v>
      </c>
      <c r="S435" s="16" t="s">
        <v>1656</v>
      </c>
      <c r="T435" s="11"/>
      <c r="U435" s="10" t="str">
        <f>HYPERLINK("https://pbs.twimg.com/profile_images/1006631930597605378/r2ADzBqH.jpg","View")</f>
        <v>View</v>
      </c>
    </row>
    <row r="436" spans="1:21" ht="30.6">
      <c r="A436" s="6">
        <v>43441.623449074075</v>
      </c>
      <c r="B436" s="7" t="str">
        <f>HYPERLINK("https://twitter.com/juanf_moreno","@juanf_moreno")</f>
        <v>@juanf_moreno</v>
      </c>
      <c r="C436" s="8" t="s">
        <v>1657</v>
      </c>
      <c r="D436" s="9" t="s">
        <v>1658</v>
      </c>
      <c r="E436" s="10" t="str">
        <f>HYPERLINK("https://twitter.com/juanf_moreno/status/1071041075886940160","1071041075886940160")</f>
        <v>1071041075886940160</v>
      </c>
      <c r="F436" s="11"/>
      <c r="G436" s="11"/>
      <c r="H436" s="11"/>
      <c r="I436" s="12">
        <v>0</v>
      </c>
      <c r="J436" s="12">
        <v>1</v>
      </c>
      <c r="K436" s="13" t="str">
        <f>HYPERLINK("http://twitter.com/download/iphone","Twitter for iPhone")</f>
        <v>Twitter for iPhone</v>
      </c>
      <c r="L436" s="12">
        <v>246</v>
      </c>
      <c r="M436" s="12">
        <v>663</v>
      </c>
      <c r="N436" s="12">
        <v>13</v>
      </c>
      <c r="O436" s="14"/>
      <c r="P436" s="6">
        <v>40163.775358796294</v>
      </c>
      <c r="Q436" s="15" t="s">
        <v>1659</v>
      </c>
      <c r="R436" s="17" t="s">
        <v>1660</v>
      </c>
      <c r="S436" s="11"/>
      <c r="T436" s="11"/>
      <c r="U436" s="10" t="str">
        <f>HYPERLINK("https://pbs.twimg.com/profile_images/490456419435839488/K_3nUlMo.jpeg","View")</f>
        <v>View</v>
      </c>
    </row>
    <row r="437" spans="1:21" ht="30.6">
      <c r="A437" s="6">
        <v>43441.622210648144</v>
      </c>
      <c r="B437" s="7" t="str">
        <f>HYPERLINK("https://twitter.com/Vityspain","@Vityspain")</f>
        <v>@Vityspain</v>
      </c>
      <c r="C437" s="8" t="s">
        <v>1661</v>
      </c>
      <c r="D437" s="9" t="s">
        <v>1662</v>
      </c>
      <c r="E437" s="10" t="str">
        <f>HYPERLINK("https://twitter.com/Vityspain/status/1071040629101211648","1071040629101211648")</f>
        <v>1071040629101211648</v>
      </c>
      <c r="F437" s="16" t="s">
        <v>1663</v>
      </c>
      <c r="G437" s="11"/>
      <c r="H437" s="11"/>
      <c r="I437" s="12">
        <v>0</v>
      </c>
      <c r="J437" s="12">
        <v>0</v>
      </c>
      <c r="K437" s="13" t="str">
        <f>HYPERLINK("http://twitter.com/download/android","Twitter for Android")</f>
        <v>Twitter for Android</v>
      </c>
      <c r="L437" s="12">
        <v>2159</v>
      </c>
      <c r="M437" s="12">
        <v>2129</v>
      </c>
      <c r="N437" s="12">
        <v>46</v>
      </c>
      <c r="O437" s="14"/>
      <c r="P437" s="6">
        <v>40530.921736111108</v>
      </c>
      <c r="Q437" s="15" t="s">
        <v>197</v>
      </c>
      <c r="R437" s="17" t="s">
        <v>1664</v>
      </c>
      <c r="S437" s="11"/>
      <c r="T437" s="11"/>
      <c r="U437" s="10" t="str">
        <f>HYPERLINK("https://pbs.twimg.com/profile_images/1071414131906019328/A5h9O2aJ.jpg","View")</f>
        <v>View</v>
      </c>
    </row>
    <row r="438" spans="1:21" ht="51">
      <c r="A438" s="6">
        <v>43441.620717592596</v>
      </c>
      <c r="B438" s="7" t="str">
        <f>HYPERLINK("https://twitter.com/L0nelyW0lf70","@L0nelyW0lf70")</f>
        <v>@L0nelyW0lf70</v>
      </c>
      <c r="C438" s="27" t="s">
        <v>1665</v>
      </c>
      <c r="D438" s="9" t="s">
        <v>1666</v>
      </c>
      <c r="E438" s="10" t="str">
        <f>HYPERLINK("https://twitter.com/L0nelyW0lf70/status/1071040088245702657","1071040088245702657")</f>
        <v>1071040088245702657</v>
      </c>
      <c r="F438" s="16" t="s">
        <v>1667</v>
      </c>
      <c r="G438" s="16" t="s">
        <v>1668</v>
      </c>
      <c r="H438" s="11"/>
      <c r="I438" s="12">
        <v>0</v>
      </c>
      <c r="J438" s="12">
        <v>0</v>
      </c>
      <c r="K438" s="13" t="str">
        <f>HYPERLINK("http://twitter.com","Twitter Web Client")</f>
        <v>Twitter Web Client</v>
      </c>
      <c r="L438" s="12">
        <v>622</v>
      </c>
      <c r="M438" s="12">
        <v>849</v>
      </c>
      <c r="N438" s="12">
        <v>2</v>
      </c>
      <c r="O438" s="14"/>
      <c r="P438" s="6">
        <v>43335.887094907404</v>
      </c>
      <c r="Q438" s="15" t="s">
        <v>1669</v>
      </c>
      <c r="R438" s="17" t="s">
        <v>1670</v>
      </c>
      <c r="S438" s="11"/>
      <c r="T438" s="11"/>
      <c r="U438" s="10" t="str">
        <f>HYPERLINK("https://pbs.twimg.com/profile_images/1070321731607388160/YlBHEYkq.jpg","View")</f>
        <v>View</v>
      </c>
    </row>
    <row r="439" spans="1:21" ht="30.6">
      <c r="A439" s="6">
        <v>43441.620370370365</v>
      </c>
      <c r="B439" s="7" t="str">
        <f t="shared" ref="B439:B440" si="116">HYPERLINK("https://twitter.com/TeodoroDelValle","@TeodoroDelValle")</f>
        <v>@TeodoroDelValle</v>
      </c>
      <c r="C439" s="8" t="s">
        <v>621</v>
      </c>
      <c r="D439" s="9" t="s">
        <v>1671</v>
      </c>
      <c r="E439" s="10" t="str">
        <f>HYPERLINK("https://twitter.com/TeodoroDelValle/status/1071039961456029701","1071039961456029701")</f>
        <v>1071039961456029701</v>
      </c>
      <c r="F439" s="16" t="s">
        <v>1672</v>
      </c>
      <c r="G439" s="11"/>
      <c r="H439" s="11"/>
      <c r="I439" s="12">
        <v>1</v>
      </c>
      <c r="J439" s="12">
        <v>1</v>
      </c>
      <c r="K439" s="13" t="str">
        <f t="shared" ref="K439:K440" si="117">HYPERLINK("http://instagram.com","Instagram")</f>
        <v>Instagram</v>
      </c>
      <c r="L439" s="12">
        <v>560</v>
      </c>
      <c r="M439" s="12">
        <v>1454</v>
      </c>
      <c r="N439" s="12">
        <v>0</v>
      </c>
      <c r="O439" s="14"/>
      <c r="P439" s="6">
        <v>40678.782349537039</v>
      </c>
      <c r="Q439" s="15" t="s">
        <v>624</v>
      </c>
      <c r="R439" s="17" t="s">
        <v>625</v>
      </c>
      <c r="S439" s="16" t="s">
        <v>626</v>
      </c>
      <c r="T439" s="11"/>
      <c r="U439" s="10" t="str">
        <f t="shared" ref="U439:U440" si="118">HYPERLINK("https://pbs.twimg.com/profile_images/1070365677297504256/4_lunmbm.jpg","View")</f>
        <v>View</v>
      </c>
    </row>
    <row r="440" spans="1:21" ht="30.6">
      <c r="A440" s="6">
        <v>43441.618333333332</v>
      </c>
      <c r="B440" s="7" t="str">
        <f t="shared" si="116"/>
        <v>@TeodoroDelValle</v>
      </c>
      <c r="C440" s="8" t="s">
        <v>621</v>
      </c>
      <c r="D440" s="9" t="s">
        <v>1673</v>
      </c>
      <c r="E440" s="10" t="str">
        <f>HYPERLINK("https://twitter.com/TeodoroDelValle/status/1071039222465859586","1071039222465859586")</f>
        <v>1071039222465859586</v>
      </c>
      <c r="F440" s="16" t="s">
        <v>1674</v>
      </c>
      <c r="G440" s="11"/>
      <c r="H440" s="11"/>
      <c r="I440" s="12">
        <v>1</v>
      </c>
      <c r="J440" s="12">
        <v>0</v>
      </c>
      <c r="K440" s="13" t="str">
        <f t="shared" si="117"/>
        <v>Instagram</v>
      </c>
      <c r="L440" s="12">
        <v>560</v>
      </c>
      <c r="M440" s="12">
        <v>1454</v>
      </c>
      <c r="N440" s="12">
        <v>0</v>
      </c>
      <c r="O440" s="14"/>
      <c r="P440" s="6">
        <v>40678.782349537039</v>
      </c>
      <c r="Q440" s="15" t="s">
        <v>624</v>
      </c>
      <c r="R440" s="17" t="s">
        <v>625</v>
      </c>
      <c r="S440" s="16" t="s">
        <v>626</v>
      </c>
      <c r="T440" s="11"/>
      <c r="U440" s="10" t="str">
        <f t="shared" si="118"/>
        <v>View</v>
      </c>
    </row>
    <row r="441" spans="1:21" ht="81.599999999999994">
      <c r="A441" s="6">
        <v>43441.616249999999</v>
      </c>
      <c r="B441" s="7" t="str">
        <f>HYPERLINK("https://twitter.com/AngelBaena5","@AngelBaena5")</f>
        <v>@AngelBaena5</v>
      </c>
      <c r="C441" s="8" t="s">
        <v>1675</v>
      </c>
      <c r="D441" s="9" t="s">
        <v>1676</v>
      </c>
      <c r="E441" s="10" t="str">
        <f>HYPERLINK("https://twitter.com/AngelBaena5/status/1071038467646349312","1071038467646349312")</f>
        <v>1071038467646349312</v>
      </c>
      <c r="F441" s="15" t="s">
        <v>1677</v>
      </c>
      <c r="G441" s="16" t="s">
        <v>1678</v>
      </c>
      <c r="H441" s="11"/>
      <c r="I441" s="12">
        <v>11</v>
      </c>
      <c r="J441" s="12">
        <v>17</v>
      </c>
      <c r="K441" s="13" t="str">
        <f t="shared" ref="K441:K442" si="119">HYPERLINK("http://twitter.com/download/android","Twitter for Android")</f>
        <v>Twitter for Android</v>
      </c>
      <c r="L441" s="12">
        <v>5404</v>
      </c>
      <c r="M441" s="12">
        <v>2719</v>
      </c>
      <c r="N441" s="12">
        <v>34</v>
      </c>
      <c r="O441" s="14"/>
      <c r="P441" s="6">
        <v>41603.768333333333</v>
      </c>
      <c r="Q441" s="15" t="s">
        <v>426</v>
      </c>
      <c r="R441" s="17" t="s">
        <v>1679</v>
      </c>
      <c r="S441" s="11"/>
      <c r="T441" s="11"/>
      <c r="U441" s="10" t="str">
        <f>HYPERLINK("https://pbs.twimg.com/profile_images/378800000789831899/83471b78a5be2040937c8f90ba9b5fa8.jpeg","View")</f>
        <v>View</v>
      </c>
    </row>
    <row r="442" spans="1:21" ht="71.400000000000006">
      <c r="A442" s="6">
        <v>43441.615798611107</v>
      </c>
      <c r="B442" s="7" t="str">
        <f>HYPERLINK("https://twitter.com/vaya_boca","@vaya_boca")</f>
        <v>@vaya_boca</v>
      </c>
      <c r="C442" s="8" t="s">
        <v>1680</v>
      </c>
      <c r="D442" s="9" t="s">
        <v>1681</v>
      </c>
      <c r="E442" s="10" t="str">
        <f>HYPERLINK("https://twitter.com/vaya_boca/status/1071038306660560897","1071038306660560897")</f>
        <v>1071038306660560897</v>
      </c>
      <c r="F442" s="16" t="s">
        <v>1682</v>
      </c>
      <c r="G442" s="16" t="s">
        <v>1683</v>
      </c>
      <c r="H442" s="11"/>
      <c r="I442" s="12">
        <v>0</v>
      </c>
      <c r="J442" s="12">
        <v>0</v>
      </c>
      <c r="K442" s="13" t="str">
        <f t="shared" si="119"/>
        <v>Twitter for Android</v>
      </c>
      <c r="L442" s="12">
        <v>55</v>
      </c>
      <c r="M442" s="12">
        <v>233</v>
      </c>
      <c r="N442" s="12">
        <v>1</v>
      </c>
      <c r="O442" s="14"/>
      <c r="P442" s="6">
        <v>42093.839074074072</v>
      </c>
      <c r="Q442" s="15" t="s">
        <v>1684</v>
      </c>
      <c r="R442" s="17" t="s">
        <v>1685</v>
      </c>
      <c r="S442" s="11"/>
      <c r="T442" s="11"/>
      <c r="U442" s="10" t="str">
        <f>HYPERLINK("https://pbs.twimg.com/profile_images/586831990776864769/lLgyFump.jpg","View")</f>
        <v>View</v>
      </c>
    </row>
    <row r="443" spans="1:21" ht="81.599999999999994">
      <c r="A443" s="6">
        <v>43441.611631944441</v>
      </c>
      <c r="B443" s="7" t="str">
        <f>HYPERLINK("https://twitter.com/carmelodifazio","@carmelodifazio")</f>
        <v>@carmelodifazio</v>
      </c>
      <c r="C443" s="8" t="s">
        <v>1172</v>
      </c>
      <c r="D443" s="9" t="s">
        <v>1686</v>
      </c>
      <c r="E443" s="10" t="str">
        <f>HYPERLINK("https://twitter.com/carmelodifazio/status/1071036794844651521","1071036794844651521")</f>
        <v>1071036794844651521</v>
      </c>
      <c r="F443" s="16" t="s">
        <v>1687</v>
      </c>
      <c r="G443" s="16" t="s">
        <v>1257</v>
      </c>
      <c r="H443" s="11"/>
      <c r="I443" s="12">
        <v>4</v>
      </c>
      <c r="J443" s="12">
        <v>2</v>
      </c>
      <c r="K443" s="13" t="str">
        <f>HYPERLINK("http://twitter.com","Twitter Web Client")</f>
        <v>Twitter Web Client</v>
      </c>
      <c r="L443" s="12">
        <v>67620</v>
      </c>
      <c r="M443" s="12">
        <v>29898</v>
      </c>
      <c r="N443" s="12">
        <v>249</v>
      </c>
      <c r="O443" s="14"/>
      <c r="P443" s="6">
        <v>40525.98883101852</v>
      </c>
      <c r="Q443" s="15" t="s">
        <v>1175</v>
      </c>
      <c r="R443" s="17" t="s">
        <v>1176</v>
      </c>
      <c r="S443" s="16" t="s">
        <v>1177</v>
      </c>
      <c r="T443" s="11"/>
      <c r="U443" s="10" t="str">
        <f>HYPERLINK("https://pbs.twimg.com/profile_images/1069385468406652930/Fe_Drk4k.jpg","View")</f>
        <v>View</v>
      </c>
    </row>
    <row r="444" spans="1:21" ht="20.399999999999999">
      <c r="A444" s="6">
        <v>43441.603576388894</v>
      </c>
      <c r="B444" s="7" t="str">
        <f>HYPERLINK("https://twitter.com/BautistaNoelia","@BautistaNoelia")</f>
        <v>@BautistaNoelia</v>
      </c>
      <c r="C444" s="8" t="s">
        <v>1688</v>
      </c>
      <c r="D444" s="9" t="s">
        <v>1689</v>
      </c>
      <c r="E444" s="10" t="str">
        <f>HYPERLINK("https://twitter.com/BautistaNoelia/status/1071033874757636096","1071033874757636096")</f>
        <v>1071033874757636096</v>
      </c>
      <c r="F444" s="11"/>
      <c r="G444" s="11"/>
      <c r="H444" s="11"/>
      <c r="I444" s="12">
        <v>0</v>
      </c>
      <c r="J444" s="12">
        <v>1</v>
      </c>
      <c r="K444" s="13" t="str">
        <f>HYPERLINK("http://twitter.com/download/iphone","Twitter for iPhone")</f>
        <v>Twitter for iPhone</v>
      </c>
      <c r="L444" s="12">
        <v>67</v>
      </c>
      <c r="M444" s="12">
        <v>143</v>
      </c>
      <c r="N444" s="12">
        <v>0</v>
      </c>
      <c r="O444" s="14"/>
      <c r="P444" s="6">
        <v>41264.544317129628</v>
      </c>
      <c r="Q444" s="15" t="s">
        <v>986</v>
      </c>
      <c r="R444" s="18"/>
      <c r="S444" s="11"/>
      <c r="T444" s="11"/>
      <c r="U444" s="10" t="str">
        <f>HYPERLINK("https://pbs.twimg.com/profile_images/1039896395816361985/hXsI7FyI.jpg","View")</f>
        <v>View</v>
      </c>
    </row>
    <row r="445" spans="1:21" ht="61.2">
      <c r="A445" s="6">
        <v>43441.602719907409</v>
      </c>
      <c r="B445" s="7" t="str">
        <f>HYPERLINK("https://twitter.com/lunadebenidorm","@lunadebenidorm")</f>
        <v>@lunadebenidorm</v>
      </c>
      <c r="C445" s="8" t="s">
        <v>1215</v>
      </c>
      <c r="D445" s="9" t="s">
        <v>1690</v>
      </c>
      <c r="E445" s="10" t="str">
        <f>HYPERLINK("https://twitter.com/lunadebenidorm/status/1071033563443838977","1071033563443838977")</f>
        <v>1071033563443838977</v>
      </c>
      <c r="F445" s="11"/>
      <c r="G445" s="11"/>
      <c r="H445" s="11"/>
      <c r="I445" s="12">
        <v>0</v>
      </c>
      <c r="J445" s="12">
        <v>1</v>
      </c>
      <c r="K445" s="13" t="str">
        <f>HYPERLINK("http://twitter.com/download/android","Twitter for Android")</f>
        <v>Twitter for Android</v>
      </c>
      <c r="L445" s="12">
        <v>3951</v>
      </c>
      <c r="M445" s="12">
        <v>4067</v>
      </c>
      <c r="N445" s="12">
        <v>79</v>
      </c>
      <c r="O445" s="14"/>
      <c r="P445" s="6">
        <v>41461.81186342593</v>
      </c>
      <c r="Q445" s="11"/>
      <c r="R445" s="17" t="s">
        <v>1217</v>
      </c>
      <c r="S445" s="11"/>
      <c r="T445" s="11"/>
      <c r="U445" s="10" t="str">
        <f>HYPERLINK("https://pbs.twimg.com/profile_images/1066142568734515203/pN2PG8WE.jpg","View")</f>
        <v>View</v>
      </c>
    </row>
    <row r="446" spans="1:21" ht="30.6">
      <c r="A446" s="6">
        <v>43441.600023148145</v>
      </c>
      <c r="B446" s="7" t="str">
        <f>HYPERLINK("https://twitter.com/fabregas_73","@fabregas_73")</f>
        <v>@fabregas_73</v>
      </c>
      <c r="C446" s="8" t="s">
        <v>1691</v>
      </c>
      <c r="D446" s="9" t="s">
        <v>1692</v>
      </c>
      <c r="E446" s="10" t="str">
        <f>HYPERLINK("https://twitter.com/fabregas_73/status/1071032590184919041","1071032590184919041")</f>
        <v>1071032590184919041</v>
      </c>
      <c r="F446" s="11"/>
      <c r="G446" s="16" t="s">
        <v>1693</v>
      </c>
      <c r="H446" s="11"/>
      <c r="I446" s="12">
        <v>0</v>
      </c>
      <c r="J446" s="12">
        <v>0</v>
      </c>
      <c r="K446" s="13" t="str">
        <f>HYPERLINK("http://twitter.com/download/iphone","Twitter for iPhone")</f>
        <v>Twitter for iPhone</v>
      </c>
      <c r="L446" s="12">
        <v>3507</v>
      </c>
      <c r="M446" s="12">
        <v>2444</v>
      </c>
      <c r="N446" s="12">
        <v>13</v>
      </c>
      <c r="O446" s="14"/>
      <c r="P446" s="6">
        <v>41226.608773148146</v>
      </c>
      <c r="Q446" s="11"/>
      <c r="R446" s="17" t="s">
        <v>1694</v>
      </c>
      <c r="S446" s="11"/>
      <c r="T446" s="11"/>
      <c r="U446" s="10" t="str">
        <f>HYPERLINK("https://pbs.twimg.com/profile_images/1058661418239737857/_9H0_7AK.jpg","View")</f>
        <v>View</v>
      </c>
    </row>
    <row r="447" spans="1:21" ht="51">
      <c r="A447" s="6">
        <v>43441.599340277782</v>
      </c>
      <c r="B447" s="7" t="str">
        <f>HYPERLINK("https://twitter.com/xvilabellam","@xvilabellam")</f>
        <v>@xvilabellam</v>
      </c>
      <c r="C447" s="8" t="s">
        <v>1695</v>
      </c>
      <c r="D447" s="9" t="s">
        <v>1696</v>
      </c>
      <c r="E447" s="10" t="str">
        <f>HYPERLINK("https://twitter.com/xvilabellam/status/1071032341592715264","1071032341592715264")</f>
        <v>1071032341592715264</v>
      </c>
      <c r="F447" s="16" t="s">
        <v>1697</v>
      </c>
      <c r="G447" s="11"/>
      <c r="H447" s="11"/>
      <c r="I447" s="12">
        <v>0</v>
      </c>
      <c r="J447" s="12">
        <v>0</v>
      </c>
      <c r="K447" s="13" t="str">
        <f>HYPERLINK("http://twitter.com/download/android","Twitter for Android")</f>
        <v>Twitter for Android</v>
      </c>
      <c r="L447" s="12">
        <v>139</v>
      </c>
      <c r="M447" s="12">
        <v>119</v>
      </c>
      <c r="N447" s="12">
        <v>0</v>
      </c>
      <c r="O447" s="14"/>
      <c r="P447" s="6">
        <v>40837.419664351852</v>
      </c>
      <c r="Q447" s="11"/>
      <c r="R447" s="17" t="s">
        <v>1698</v>
      </c>
      <c r="S447" s="11"/>
      <c r="T447" s="11"/>
      <c r="U447" s="10" t="str">
        <f>HYPERLINK("https://pbs.twimg.com/profile_images/1001937259883581440/AuQbEvlk.jpg","View")</f>
        <v>View</v>
      </c>
    </row>
    <row r="448" spans="1:21" ht="30.6">
      <c r="A448" s="6">
        <v>43441.597673611112</v>
      </c>
      <c r="B448" s="7" t="str">
        <f>HYPERLINK("https://twitter.com/omniaveritas_","@omniaveritas_")</f>
        <v>@omniaveritas_</v>
      </c>
      <c r="C448" s="8" t="s">
        <v>1699</v>
      </c>
      <c r="D448" s="9" t="s">
        <v>1700</v>
      </c>
      <c r="E448" s="10" t="str">
        <f>HYPERLINK("https://twitter.com/omniaveritas_/status/1071031738397327361","1071031738397327361")</f>
        <v>1071031738397327361</v>
      </c>
      <c r="F448" s="11"/>
      <c r="G448" s="11"/>
      <c r="H448" s="11"/>
      <c r="I448" s="12">
        <v>1</v>
      </c>
      <c r="J448" s="12">
        <v>1</v>
      </c>
      <c r="K448" s="13" t="str">
        <f>HYPERLINK("http://twitter.com/download/iphone","Twitter for iPhone")</f>
        <v>Twitter for iPhone</v>
      </c>
      <c r="L448" s="12">
        <v>1694</v>
      </c>
      <c r="M448" s="12">
        <v>1590</v>
      </c>
      <c r="N448" s="12">
        <v>15</v>
      </c>
      <c r="O448" s="14"/>
      <c r="P448" s="6">
        <v>42289.668807870374</v>
      </c>
      <c r="Q448" s="15" t="s">
        <v>1701</v>
      </c>
      <c r="R448" s="17" t="s">
        <v>1702</v>
      </c>
      <c r="S448" s="11"/>
      <c r="T448" s="11"/>
      <c r="U448" s="10" t="str">
        <f>HYPERLINK("https://pbs.twimg.com/profile_images/1068289529377972224/l5Gy3_Yj.jpg","View")</f>
        <v>View</v>
      </c>
    </row>
    <row r="449" spans="1:21" ht="40.799999999999997">
      <c r="A449" s="6">
        <v>43441.596076388887</v>
      </c>
      <c r="B449" s="7" t="str">
        <f>HYPERLINK("https://twitter.com/Famelica_legion","@Famelica_legion")</f>
        <v>@Famelica_legion</v>
      </c>
      <c r="C449" s="8" t="s">
        <v>1703</v>
      </c>
      <c r="D449" s="9" t="s">
        <v>1704</v>
      </c>
      <c r="E449" s="10" t="str">
        <f>HYPERLINK("https://twitter.com/Famelica_legion/status/1071031159965016064","1071031159965016064")</f>
        <v>1071031159965016064</v>
      </c>
      <c r="F449" s="16" t="s">
        <v>132</v>
      </c>
      <c r="G449" s="16" t="s">
        <v>1705</v>
      </c>
      <c r="H449" s="11"/>
      <c r="I449" s="12">
        <v>24</v>
      </c>
      <c r="J449" s="12">
        <v>7</v>
      </c>
      <c r="K449" s="13" t="str">
        <f>HYPERLINK("http://twitter.com","Twitter Web Client")</f>
        <v>Twitter Web Client</v>
      </c>
      <c r="L449" s="12">
        <v>57320</v>
      </c>
      <c r="M449" s="12">
        <v>34746</v>
      </c>
      <c r="N449" s="12">
        <v>368</v>
      </c>
      <c r="O449" s="14"/>
      <c r="P449" s="6">
        <v>40999.601747685185</v>
      </c>
      <c r="Q449" s="11"/>
      <c r="R449" s="17" t="s">
        <v>1706</v>
      </c>
      <c r="S449" s="16" t="s">
        <v>1707</v>
      </c>
      <c r="T449" s="11"/>
      <c r="U449" s="10" t="str">
        <f>HYPERLINK("https://pbs.twimg.com/profile_images/875403697219620865/ni6ZDU-O.jpg","View")</f>
        <v>View</v>
      </c>
    </row>
    <row r="450" spans="1:21" ht="30.6">
      <c r="A450" s="6">
        <v>43441.5940162037</v>
      </c>
      <c r="B450" s="7" t="str">
        <f>HYPERLINK("https://twitter.com/erregood","@erregood")</f>
        <v>@erregood</v>
      </c>
      <c r="C450" s="8" t="s">
        <v>1708</v>
      </c>
      <c r="D450" s="9" t="s">
        <v>1709</v>
      </c>
      <c r="E450" s="10" t="str">
        <f>HYPERLINK("https://twitter.com/erregood/status/1071030412519071744","1071030412519071744")</f>
        <v>1071030412519071744</v>
      </c>
      <c r="F450" s="11"/>
      <c r="G450" s="16" t="s">
        <v>1710</v>
      </c>
      <c r="H450" s="11"/>
      <c r="I450" s="12">
        <v>4</v>
      </c>
      <c r="J450" s="12">
        <v>9</v>
      </c>
      <c r="K450" s="13" t="str">
        <f t="shared" ref="K450:K451" si="120">HYPERLINK("http://twitter.com/download/android","Twitter for Android")</f>
        <v>Twitter for Android</v>
      </c>
      <c r="L450" s="12">
        <v>622</v>
      </c>
      <c r="M450" s="12">
        <v>525</v>
      </c>
      <c r="N450" s="12">
        <v>1</v>
      </c>
      <c r="O450" s="14"/>
      <c r="P450" s="6">
        <v>41366.862928240742</v>
      </c>
      <c r="Q450" s="11"/>
      <c r="R450" s="18"/>
      <c r="S450" s="11"/>
      <c r="T450" s="11"/>
      <c r="U450" s="10" t="str">
        <f>HYPERLINK("https://pbs.twimg.com/profile_images/1067728172173664256/IkllR3nB.jpg","View")</f>
        <v>View</v>
      </c>
    </row>
    <row r="451" spans="1:21" ht="51">
      <c r="A451" s="6">
        <v>43441.593969907408</v>
      </c>
      <c r="B451" s="7" t="str">
        <f>HYPERLINK("https://twitter.com/qqqqetru","@qqqqetru")</f>
        <v>@qqqqetru</v>
      </c>
      <c r="C451" s="8" t="s">
        <v>843</v>
      </c>
      <c r="D451" s="9" t="s">
        <v>1711</v>
      </c>
      <c r="E451" s="10" t="str">
        <f>HYPERLINK("https://twitter.com/qqqqetru/status/1071030393980235776","1071030393980235776")</f>
        <v>1071030393980235776</v>
      </c>
      <c r="F451" s="11"/>
      <c r="G451" s="11"/>
      <c r="H451" s="11"/>
      <c r="I451" s="12">
        <v>1</v>
      </c>
      <c r="J451" s="12">
        <v>5</v>
      </c>
      <c r="K451" s="13" t="str">
        <f t="shared" si="120"/>
        <v>Twitter for Android</v>
      </c>
      <c r="L451" s="12">
        <v>649</v>
      </c>
      <c r="M451" s="12">
        <v>1194</v>
      </c>
      <c r="N451" s="12">
        <v>2</v>
      </c>
      <c r="O451" s="14"/>
      <c r="P451" s="6">
        <v>40749.437719907408</v>
      </c>
      <c r="Q451" s="11"/>
      <c r="R451" s="18"/>
      <c r="S451" s="11"/>
      <c r="T451" s="11"/>
      <c r="U451" s="10" t="str">
        <f>HYPERLINK("https://pbs.twimg.com/profile_images/1069734331780870144/d_KYpBFy.jpg","View")</f>
        <v>View</v>
      </c>
    </row>
    <row r="452" spans="1:21" ht="51">
      <c r="A452" s="6">
        <v>43441.590914351851</v>
      </c>
      <c r="B452" s="7" t="str">
        <f>HYPERLINK("https://twitter.com/mlukacs","@mlukacs")</f>
        <v>@mlukacs</v>
      </c>
      <c r="C452" s="8" t="s">
        <v>1712</v>
      </c>
      <c r="D452" s="9" t="s">
        <v>1713</v>
      </c>
      <c r="E452" s="10" t="str">
        <f>HYPERLINK("https://twitter.com/mlukacs/status/1071029288256921601","1071029288256921601")</f>
        <v>1071029288256921601</v>
      </c>
      <c r="F452" s="16" t="s">
        <v>1714</v>
      </c>
      <c r="G452" s="11"/>
      <c r="H452" s="11"/>
      <c r="I452" s="12">
        <v>12</v>
      </c>
      <c r="J452" s="12">
        <v>39</v>
      </c>
      <c r="K452" s="13" t="str">
        <f>HYPERLINK("http://twitter.com","Twitter Web Client")</f>
        <v>Twitter Web Client</v>
      </c>
      <c r="L452" s="12">
        <v>11953</v>
      </c>
      <c r="M452" s="12">
        <v>468</v>
      </c>
      <c r="N452" s="12">
        <v>74</v>
      </c>
      <c r="O452" s="14"/>
      <c r="P452" s="6">
        <v>39990.847673611112</v>
      </c>
      <c r="Q452" s="15" t="s">
        <v>1715</v>
      </c>
      <c r="R452" s="17" t="s">
        <v>1716</v>
      </c>
      <c r="S452" s="11"/>
      <c r="T452" s="11"/>
      <c r="U452" s="10" t="str">
        <f>HYPERLINK("https://pbs.twimg.com/profile_images/1047881086087380992/QjA1dAQ5.jpg","View")</f>
        <v>View</v>
      </c>
    </row>
    <row r="453" spans="1:21" ht="40.799999999999997">
      <c r="A453" s="6">
        <v>43441.59070601852</v>
      </c>
      <c r="B453" s="7" t="str">
        <f>HYPERLINK("https://twitter.com/Ke_Les_Den","@Ke_Les_Den")</f>
        <v>@Ke_Les_Den</v>
      </c>
      <c r="C453" s="8" t="s">
        <v>599</v>
      </c>
      <c r="D453" s="9" t="s">
        <v>1717</v>
      </c>
      <c r="E453" s="10" t="str">
        <f>HYPERLINK("https://twitter.com/Ke_Les_Den/status/1071029212704882688","1071029212704882688")</f>
        <v>1071029212704882688</v>
      </c>
      <c r="F453" s="11"/>
      <c r="G453" s="16" t="s">
        <v>1718</v>
      </c>
      <c r="H453" s="11"/>
      <c r="I453" s="12">
        <v>1</v>
      </c>
      <c r="J453" s="12">
        <v>1</v>
      </c>
      <c r="K453" s="13" t="str">
        <f t="shared" ref="K453:K454" si="121">HYPERLINK("http://twitter.com/download/android","Twitter for Android")</f>
        <v>Twitter for Android</v>
      </c>
      <c r="L453" s="12">
        <v>862</v>
      </c>
      <c r="M453" s="12">
        <v>1970</v>
      </c>
      <c r="N453" s="12">
        <v>1</v>
      </c>
      <c r="O453" s="14"/>
      <c r="P453" s="6">
        <v>42849.633483796293</v>
      </c>
      <c r="Q453" s="11"/>
      <c r="R453" s="17" t="s">
        <v>602</v>
      </c>
      <c r="S453" s="11"/>
      <c r="T453" s="11"/>
      <c r="U453" s="10" t="str">
        <f>HYPERLINK("https://pbs.twimg.com/profile_images/856777751755358208/AquT2MXe.jpg","View")</f>
        <v>View</v>
      </c>
    </row>
    <row r="454" spans="1:21" ht="20.399999999999999">
      <c r="A454" s="6">
        <v>43441.590428240743</v>
      </c>
      <c r="B454" s="7" t="str">
        <f>HYPERLINK("https://twitter.com/lunadebenidorm","@lunadebenidorm")</f>
        <v>@lunadebenidorm</v>
      </c>
      <c r="C454" s="8" t="s">
        <v>1215</v>
      </c>
      <c r="D454" s="9" t="s">
        <v>1719</v>
      </c>
      <c r="E454" s="10" t="str">
        <f>HYPERLINK("https://twitter.com/lunadebenidorm/status/1071029112750465025","1071029112750465025")</f>
        <v>1071029112750465025</v>
      </c>
      <c r="F454" s="11"/>
      <c r="G454" s="16" t="s">
        <v>1720</v>
      </c>
      <c r="H454" s="11"/>
      <c r="I454" s="12">
        <v>0</v>
      </c>
      <c r="J454" s="12">
        <v>0</v>
      </c>
      <c r="K454" s="13" t="str">
        <f t="shared" si="121"/>
        <v>Twitter for Android</v>
      </c>
      <c r="L454" s="12">
        <v>3951</v>
      </c>
      <c r="M454" s="12">
        <v>4067</v>
      </c>
      <c r="N454" s="12">
        <v>79</v>
      </c>
      <c r="O454" s="14"/>
      <c r="P454" s="6">
        <v>41461.81186342593</v>
      </c>
      <c r="Q454" s="11"/>
      <c r="R454" s="17" t="s">
        <v>1217</v>
      </c>
      <c r="S454" s="11"/>
      <c r="T454" s="11"/>
      <c r="U454" s="10" t="str">
        <f>HYPERLINK("https://pbs.twimg.com/profile_images/1066142568734515203/pN2PG8WE.jpg","View")</f>
        <v>View</v>
      </c>
    </row>
    <row r="455" spans="1:21" ht="30.6">
      <c r="A455" s="6">
        <v>43441.59002314815</v>
      </c>
      <c r="B455" s="7" t="str">
        <f>HYPERLINK("https://twitter.com/okdiario","@okdiario")</f>
        <v>@okdiario</v>
      </c>
      <c r="C455" s="8" t="s">
        <v>582</v>
      </c>
      <c r="D455" s="9" t="s">
        <v>1110</v>
      </c>
      <c r="E455" s="10" t="str">
        <f>HYPERLINK("https://twitter.com/okdiario/status/1071028962330058754","1071028962330058754")</f>
        <v>1071028962330058754</v>
      </c>
      <c r="F455" s="16" t="s">
        <v>1556</v>
      </c>
      <c r="G455" s="11"/>
      <c r="H455" s="11"/>
      <c r="I455" s="12">
        <v>488</v>
      </c>
      <c r="J455" s="12">
        <v>425</v>
      </c>
      <c r="K455" s="13" t="str">
        <f>HYPERLINK("https://www.echobox.com","Echobox Social")</f>
        <v>Echobox Social</v>
      </c>
      <c r="L455" s="12">
        <v>112411</v>
      </c>
      <c r="M455" s="12">
        <v>343</v>
      </c>
      <c r="N455" s="12">
        <v>1440</v>
      </c>
      <c r="O455" s="23" t="s">
        <v>89</v>
      </c>
      <c r="P455" s="6">
        <v>42241.708229166667</v>
      </c>
      <c r="Q455" s="11"/>
      <c r="R455" s="17" t="s">
        <v>585</v>
      </c>
      <c r="S455" s="16" t="s">
        <v>586</v>
      </c>
      <c r="T455" s="11"/>
      <c r="U455" s="10" t="str">
        <f>HYPERLINK("https://pbs.twimg.com/profile_images/789113773697208320/3LvFvi8Q.jpg","View")</f>
        <v>View</v>
      </c>
    </row>
    <row r="456" spans="1:21" ht="51">
      <c r="A456" s="6">
        <v>43441.58865740741</v>
      </c>
      <c r="B456" s="7" t="str">
        <f>HYPERLINK("https://twitter.com/atgcr","@atgcr")</f>
        <v>@atgcr</v>
      </c>
      <c r="C456" s="8" t="s">
        <v>1721</v>
      </c>
      <c r="D456" s="9" t="s">
        <v>1722</v>
      </c>
      <c r="E456" s="10" t="str">
        <f>HYPERLINK("https://twitter.com/atgcr/status/1071028467712565248","1071028467712565248")</f>
        <v>1071028467712565248</v>
      </c>
      <c r="F456" s="11"/>
      <c r="G456" s="11"/>
      <c r="H456" s="11"/>
      <c r="I456" s="12">
        <v>0</v>
      </c>
      <c r="J456" s="12">
        <v>1</v>
      </c>
      <c r="K456" s="13" t="str">
        <f>HYPERLINK("http://twitter.com/download/android","Twitter for Android")</f>
        <v>Twitter for Android</v>
      </c>
      <c r="L456" s="12">
        <v>1041</v>
      </c>
      <c r="M456" s="12">
        <v>1480</v>
      </c>
      <c r="N456" s="12">
        <v>12</v>
      </c>
      <c r="O456" s="14"/>
      <c r="P456" s="6">
        <v>40854.613379629627</v>
      </c>
      <c r="Q456" s="15" t="s">
        <v>618</v>
      </c>
      <c r="R456" s="18"/>
      <c r="S456" s="11"/>
      <c r="T456" s="11"/>
      <c r="U456" s="10" t="str">
        <f>HYPERLINK("https://pbs.twimg.com/profile_images/1065758340381360128/sOiS6o-Y.jpg","View")</f>
        <v>View</v>
      </c>
    </row>
    <row r="457" spans="1:21" ht="30.6">
      <c r="A457" s="6">
        <v>43441.588460648149</v>
      </c>
      <c r="B457" s="7" t="str">
        <f>HYPERLINK("https://twitter.com/MaraCAmor","@MaraCAmor")</f>
        <v>@MaraCAmor</v>
      </c>
      <c r="C457" s="8" t="s">
        <v>1723</v>
      </c>
      <c r="D457" s="9" t="s">
        <v>1724</v>
      </c>
      <c r="E457" s="10" t="str">
        <f>HYPERLINK("https://twitter.com/MaraCAmor/status/1071028398615605248","1071028398615605248")</f>
        <v>1071028398615605248</v>
      </c>
      <c r="F457" s="11"/>
      <c r="G457" s="11"/>
      <c r="H457" s="11"/>
      <c r="I457" s="12">
        <v>3</v>
      </c>
      <c r="J457" s="12">
        <v>16</v>
      </c>
      <c r="K457" s="13" t="str">
        <f>HYPERLINK("http://twitter.com","Twitter Web Client")</f>
        <v>Twitter Web Client</v>
      </c>
      <c r="L457" s="12">
        <v>9739</v>
      </c>
      <c r="M457" s="12">
        <v>4007</v>
      </c>
      <c r="N457" s="12">
        <v>122</v>
      </c>
      <c r="O457" s="14"/>
      <c r="P457" s="6">
        <v>40588.909803240742</v>
      </c>
      <c r="Q457" s="15" t="s">
        <v>1725</v>
      </c>
      <c r="R457" s="17" t="s">
        <v>1726</v>
      </c>
      <c r="S457" s="16" t="s">
        <v>1727</v>
      </c>
      <c r="T457" s="11"/>
      <c r="U457" s="10" t="str">
        <f>HYPERLINK("https://pbs.twimg.com/profile_images/1068943105502732288/Qqhtw7cl.jpg","View")</f>
        <v>View</v>
      </c>
    </row>
    <row r="458" spans="1:21" ht="30.6">
      <c r="A458" s="6">
        <v>43441.587604166663</v>
      </c>
      <c r="B458" s="7" t="str">
        <f>HYPERLINK("https://twitter.com/sillopal","@sillopal")</f>
        <v>@sillopal</v>
      </c>
      <c r="C458" s="8" t="s">
        <v>1728</v>
      </c>
      <c r="D458" s="9" t="s">
        <v>1729</v>
      </c>
      <c r="E458" s="10" t="str">
        <f>HYPERLINK("https://twitter.com/sillopal/status/1071028089000472576","1071028089000472576")</f>
        <v>1071028089000472576</v>
      </c>
      <c r="F458" s="11"/>
      <c r="G458" s="16" t="s">
        <v>1730</v>
      </c>
      <c r="H458" s="11"/>
      <c r="I458" s="12">
        <v>1</v>
      </c>
      <c r="J458" s="12">
        <v>0</v>
      </c>
      <c r="K458" s="13" t="str">
        <f>HYPERLINK("http://twitter.com/download/android","Twitter for Android")</f>
        <v>Twitter for Android</v>
      </c>
      <c r="L458" s="12">
        <v>230</v>
      </c>
      <c r="M458" s="12">
        <v>399</v>
      </c>
      <c r="N458" s="12">
        <v>1</v>
      </c>
      <c r="O458" s="14"/>
      <c r="P458" s="6">
        <v>42279.871712962966</v>
      </c>
      <c r="Q458" s="15" t="s">
        <v>197</v>
      </c>
      <c r="R458" s="17" t="s">
        <v>1731</v>
      </c>
      <c r="S458" s="11"/>
      <c r="T458" s="11"/>
      <c r="U458" s="10" t="str">
        <f>HYPERLINK("https://pbs.twimg.com/profile_images/650025200633933824/JxNNsNnB.jpg","View")</f>
        <v>View</v>
      </c>
    </row>
    <row r="459" spans="1:21" ht="30.6">
      <c r="A459" s="6">
        <v>43441.578611111108</v>
      </c>
      <c r="B459" s="7" t="str">
        <f>HYPERLINK("https://twitter.com/Antiintermedio","@Antiintermedio")</f>
        <v>@Antiintermedio</v>
      </c>
      <c r="C459" s="8" t="s">
        <v>1732</v>
      </c>
      <c r="D459" s="9" t="s">
        <v>1733</v>
      </c>
      <c r="E459" s="10" t="str">
        <f>HYPERLINK("https://twitter.com/Antiintermedio/status/1071024828830896128","1071024828830896128")</f>
        <v>1071024828830896128</v>
      </c>
      <c r="F459" s="11"/>
      <c r="G459" s="11"/>
      <c r="H459" s="11"/>
      <c r="I459" s="12">
        <v>25</v>
      </c>
      <c r="J459" s="12">
        <v>78</v>
      </c>
      <c r="K459" s="13" t="str">
        <f t="shared" ref="K459:K461" si="122">HYPERLINK("http://twitter.com/download/iphone","Twitter for iPhone")</f>
        <v>Twitter for iPhone</v>
      </c>
      <c r="L459" s="12">
        <v>18586</v>
      </c>
      <c r="M459" s="12">
        <v>453</v>
      </c>
      <c r="N459" s="12">
        <v>196</v>
      </c>
      <c r="O459" s="14"/>
      <c r="P459" s="6">
        <v>41686.038981481484</v>
      </c>
      <c r="Q459" s="11"/>
      <c r="R459" s="17" t="s">
        <v>1734</v>
      </c>
      <c r="S459" s="11"/>
      <c r="T459" s="11"/>
      <c r="U459" s="10" t="str">
        <f>HYPERLINK("https://pbs.twimg.com/profile_images/898684538188115969/a1QEwxJV.jpg","View")</f>
        <v>View</v>
      </c>
    </row>
    <row r="460" spans="1:21" ht="51">
      <c r="A460" s="6">
        <v>43441.576527777783</v>
      </c>
      <c r="B460" s="7" t="str">
        <f>HYPERLINK("https://twitter.com/gonzalezpej","@gonzalezpej")</f>
        <v>@gonzalezpej</v>
      </c>
      <c r="C460" s="8" t="s">
        <v>1735</v>
      </c>
      <c r="D460" s="9" t="s">
        <v>1736</v>
      </c>
      <c r="E460" s="10" t="str">
        <f>HYPERLINK("https://twitter.com/gonzalezpej/status/1071024075114536965","1071024075114536965")</f>
        <v>1071024075114536965</v>
      </c>
      <c r="F460" s="11"/>
      <c r="G460" s="16" t="s">
        <v>1737</v>
      </c>
      <c r="H460" s="11"/>
      <c r="I460" s="12">
        <v>0</v>
      </c>
      <c r="J460" s="12">
        <v>0</v>
      </c>
      <c r="K460" s="13" t="str">
        <f t="shared" si="122"/>
        <v>Twitter for iPhone</v>
      </c>
      <c r="L460" s="12">
        <v>58</v>
      </c>
      <c r="M460" s="12">
        <v>176</v>
      </c>
      <c r="N460" s="12">
        <v>0</v>
      </c>
      <c r="O460" s="14"/>
      <c r="P460" s="6">
        <v>43144.507835648154</v>
      </c>
      <c r="Q460" s="15" t="s">
        <v>1738</v>
      </c>
      <c r="R460" s="17" t="s">
        <v>1739</v>
      </c>
      <c r="S460" s="16" t="s">
        <v>1740</v>
      </c>
      <c r="T460" s="11"/>
      <c r="U460" s="10" t="str">
        <f>HYPERLINK("https://pbs.twimg.com/profile_images/1071169477105078272/erBTcG6J.jpg","View")</f>
        <v>View</v>
      </c>
    </row>
    <row r="461" spans="1:21" ht="40.799999999999997">
      <c r="A461" s="6">
        <v>43441.575474537036</v>
      </c>
      <c r="B461" s="7" t="str">
        <f>HYPERLINK("https://twitter.com/Zibelinam","@Zibelinam")</f>
        <v>@Zibelinam</v>
      </c>
      <c r="C461" s="8" t="s">
        <v>1741</v>
      </c>
      <c r="D461" s="9" t="s">
        <v>1742</v>
      </c>
      <c r="E461" s="10" t="str">
        <f>HYPERLINK("https://twitter.com/Zibelinam/status/1071023691725725696","1071023691725725696")</f>
        <v>1071023691725725696</v>
      </c>
      <c r="F461" s="16" t="s">
        <v>1743</v>
      </c>
      <c r="G461" s="11"/>
      <c r="H461" s="11"/>
      <c r="I461" s="12">
        <v>0</v>
      </c>
      <c r="J461" s="12">
        <v>0</v>
      </c>
      <c r="K461" s="13" t="str">
        <f t="shared" si="122"/>
        <v>Twitter for iPhone</v>
      </c>
      <c r="L461" s="12">
        <v>4133</v>
      </c>
      <c r="M461" s="12">
        <v>4055</v>
      </c>
      <c r="N461" s="12">
        <v>20</v>
      </c>
      <c r="O461" s="14"/>
      <c r="P461" s="6">
        <v>41405.65353009259</v>
      </c>
      <c r="Q461" s="15" t="s">
        <v>1744</v>
      </c>
      <c r="R461" s="17" t="s">
        <v>1745</v>
      </c>
      <c r="S461" s="11"/>
      <c r="T461" s="11"/>
      <c r="U461" s="10" t="str">
        <f>HYPERLINK("https://pbs.twimg.com/profile_images/929426502416027649/07tvgMQf.jpg","View")</f>
        <v>View</v>
      </c>
    </row>
    <row r="462" spans="1:21" ht="51">
      <c r="A462" s="6">
        <v>43441.57068287037</v>
      </c>
      <c r="B462" s="7" t="str">
        <f>HYPERLINK("https://twitter.com/carl99carl99","@carl99carl99")</f>
        <v>@carl99carl99</v>
      </c>
      <c r="C462" s="8" t="s">
        <v>1746</v>
      </c>
      <c r="D462" s="9" t="s">
        <v>1747</v>
      </c>
      <c r="E462" s="10" t="str">
        <f>HYPERLINK("https://twitter.com/carl99carl99/status/1071021956579905536","1071021956579905536")</f>
        <v>1071021956579905536</v>
      </c>
      <c r="F462" s="16" t="s">
        <v>969</v>
      </c>
      <c r="G462" s="16" t="s">
        <v>1748</v>
      </c>
      <c r="H462" s="11"/>
      <c r="I462" s="12">
        <v>0</v>
      </c>
      <c r="J462" s="12">
        <v>0</v>
      </c>
      <c r="K462" s="13" t="str">
        <f>HYPERLINK("http://twitter.com","Twitter Web Client")</f>
        <v>Twitter Web Client</v>
      </c>
      <c r="L462" s="12">
        <v>0</v>
      </c>
      <c r="M462" s="12">
        <v>0</v>
      </c>
      <c r="N462" s="12">
        <v>0</v>
      </c>
      <c r="O462" s="14"/>
      <c r="P462" s="6">
        <v>43297.685543981483</v>
      </c>
      <c r="Q462" s="11"/>
      <c r="R462" s="18"/>
      <c r="S462" s="11"/>
      <c r="T462" s="11"/>
      <c r="U462" s="23" t="s">
        <v>437</v>
      </c>
    </row>
    <row r="463" spans="1:21" ht="20.399999999999999">
      <c r="A463" s="6">
        <v>43441.569421296299</v>
      </c>
      <c r="B463" s="7" t="str">
        <f>HYPERLINK("https://twitter.com/STOP_FEMINAZISS","@STOP_FEMINAZISS")</f>
        <v>@STOP_FEMINAZISS</v>
      </c>
      <c r="C463" s="8" t="s">
        <v>1749</v>
      </c>
      <c r="D463" s="9" t="s">
        <v>1750</v>
      </c>
      <c r="E463" s="10" t="str">
        <f>HYPERLINK("https://twitter.com/STOP_FEMINAZISS/status/1071021498150912001","1071021498150912001")</f>
        <v>1071021498150912001</v>
      </c>
      <c r="F463" s="11"/>
      <c r="G463" s="16" t="s">
        <v>1751</v>
      </c>
      <c r="H463" s="11"/>
      <c r="I463" s="12">
        <v>0</v>
      </c>
      <c r="J463" s="12">
        <v>0</v>
      </c>
      <c r="K463" s="13" t="str">
        <f t="shared" ref="K463:K464" si="123">HYPERLINK("http://twitter.com/download/android","Twitter for Android")</f>
        <v>Twitter for Android</v>
      </c>
      <c r="L463" s="12">
        <v>107</v>
      </c>
      <c r="M463" s="12">
        <v>121</v>
      </c>
      <c r="N463" s="12">
        <v>0</v>
      </c>
      <c r="O463" s="14"/>
      <c r="P463" s="6">
        <v>43216.588182870371</v>
      </c>
      <c r="Q463" s="15" t="s">
        <v>1752</v>
      </c>
      <c r="R463" s="17" t="s">
        <v>1753</v>
      </c>
      <c r="S463" s="11"/>
      <c r="T463" s="11"/>
      <c r="U463" s="10" t="str">
        <f>HYPERLINK("https://pbs.twimg.com/profile_images/993869400750125056/PKMvCkwv.jpg","View")</f>
        <v>View</v>
      </c>
    </row>
    <row r="464" spans="1:21" ht="51">
      <c r="A464" s="6">
        <v>43441.568773148145</v>
      </c>
      <c r="B464" s="7" t="str">
        <f>HYPERLINK("https://twitter.com/qqqqetru","@qqqqetru")</f>
        <v>@qqqqetru</v>
      </c>
      <c r="C464" s="8" t="s">
        <v>843</v>
      </c>
      <c r="D464" s="9" t="s">
        <v>1754</v>
      </c>
      <c r="E464" s="10" t="str">
        <f>HYPERLINK("https://twitter.com/qqqqetru/status/1071021263135625216","1071021263135625216")</f>
        <v>1071021263135625216</v>
      </c>
      <c r="F464" s="11"/>
      <c r="G464" s="11"/>
      <c r="H464" s="11"/>
      <c r="I464" s="12">
        <v>0</v>
      </c>
      <c r="J464" s="12">
        <v>1</v>
      </c>
      <c r="K464" s="13" t="str">
        <f t="shared" si="123"/>
        <v>Twitter for Android</v>
      </c>
      <c r="L464" s="12">
        <v>649</v>
      </c>
      <c r="M464" s="12">
        <v>1194</v>
      </c>
      <c r="N464" s="12">
        <v>2</v>
      </c>
      <c r="O464" s="14"/>
      <c r="P464" s="6">
        <v>40749.437719907408</v>
      </c>
      <c r="Q464" s="11"/>
      <c r="R464" s="18"/>
      <c r="S464" s="11"/>
      <c r="T464" s="11"/>
      <c r="U464" s="10" t="str">
        <f>HYPERLINK("https://pbs.twimg.com/profile_images/1069734331780870144/d_KYpBFy.jpg","View")</f>
        <v>View</v>
      </c>
    </row>
    <row r="465" spans="1:21" ht="30.6">
      <c r="A465" s="6">
        <v>43441.565451388888</v>
      </c>
      <c r="B465" s="7" t="str">
        <f>HYPERLINK("https://twitter.com/quiquellanas","@quiquellanas")</f>
        <v>@quiquellanas</v>
      </c>
      <c r="C465" s="8" t="s">
        <v>1755</v>
      </c>
      <c r="D465" s="9" t="s">
        <v>1756</v>
      </c>
      <c r="E465" s="10" t="str">
        <f>HYPERLINK("https://twitter.com/quiquellanas/status/1071020059278098433","1071020059278098433")</f>
        <v>1071020059278098433</v>
      </c>
      <c r="F465" s="11"/>
      <c r="G465" s="11"/>
      <c r="H465" s="11"/>
      <c r="I465" s="12">
        <v>0</v>
      </c>
      <c r="J465" s="12">
        <v>0</v>
      </c>
      <c r="K465" s="13" t="str">
        <f t="shared" ref="K465:K466" si="124">HYPERLINK("http://twitter.com/download/iphone","Twitter for iPhone")</f>
        <v>Twitter for iPhone</v>
      </c>
      <c r="L465" s="12">
        <v>114</v>
      </c>
      <c r="M465" s="12">
        <v>292</v>
      </c>
      <c r="N465" s="12">
        <v>2</v>
      </c>
      <c r="O465" s="14"/>
      <c r="P465" s="6">
        <v>40460.748240740737</v>
      </c>
      <c r="Q465" s="15" t="s">
        <v>1092</v>
      </c>
      <c r="R465" s="17" t="s">
        <v>1757</v>
      </c>
      <c r="S465" s="11"/>
      <c r="T465" s="11"/>
      <c r="U465" s="10" t="str">
        <f>HYPERLINK("https://pbs.twimg.com/profile_images/984039544055091200/ODlYQSFC.jpg","View")</f>
        <v>View</v>
      </c>
    </row>
    <row r="466" spans="1:21" ht="71.400000000000006">
      <c r="A466" s="6">
        <v>43441.565428240741</v>
      </c>
      <c r="B466" s="7" t="str">
        <f>HYPERLINK("https://twitter.com/Independentis10","@Independentis10")</f>
        <v>@Independentis10</v>
      </c>
      <c r="C466" s="8" t="s">
        <v>1758</v>
      </c>
      <c r="D466" s="9" t="s">
        <v>1759</v>
      </c>
      <c r="E466" s="10" t="str">
        <f>HYPERLINK("https://twitter.com/Independentis10/status/1071020052403666944","1071020052403666944")</f>
        <v>1071020052403666944</v>
      </c>
      <c r="F466" s="15" t="s">
        <v>1539</v>
      </c>
      <c r="G466" s="11"/>
      <c r="H466" s="11"/>
      <c r="I466" s="12">
        <v>0</v>
      </c>
      <c r="J466" s="12">
        <v>0</v>
      </c>
      <c r="K466" s="13" t="str">
        <f t="shared" si="124"/>
        <v>Twitter for iPhone</v>
      </c>
      <c r="L466" s="12">
        <v>51</v>
      </c>
      <c r="M466" s="12">
        <v>233</v>
      </c>
      <c r="N466" s="12">
        <v>0</v>
      </c>
      <c r="O466" s="14"/>
      <c r="P466" s="6">
        <v>43264.899270833332</v>
      </c>
      <c r="Q466" s="11"/>
      <c r="R466" s="17" t="s">
        <v>1760</v>
      </c>
      <c r="S466" s="11"/>
      <c r="T466" s="11"/>
      <c r="U466" s="10" t="str">
        <f>HYPERLINK("https://pbs.twimg.com/profile_images/1006985606591860737/Geyj_M9-.jpg","View")</f>
        <v>View</v>
      </c>
    </row>
    <row r="467" spans="1:21" ht="40.799999999999997">
      <c r="A467" s="6">
        <v>43441.563750000001</v>
      </c>
      <c r="B467" s="7" t="str">
        <f>HYPERLINK("https://twitter.com/tabarniaBCN","@tabarniaBCN")</f>
        <v>@tabarniaBCN</v>
      </c>
      <c r="C467" s="8" t="s">
        <v>1761</v>
      </c>
      <c r="D467" s="9" t="s">
        <v>1762</v>
      </c>
      <c r="E467" s="10" t="str">
        <f>HYPERLINK("https://twitter.com/tabarniaBCN/status/1071019444846149632","1071019444846149632")</f>
        <v>1071019444846149632</v>
      </c>
      <c r="F467" s="11"/>
      <c r="G467" s="16" t="s">
        <v>1763</v>
      </c>
      <c r="H467" s="11"/>
      <c r="I467" s="12">
        <v>1</v>
      </c>
      <c r="J467" s="12">
        <v>5</v>
      </c>
      <c r="K467" s="13" t="str">
        <f>HYPERLINK("https://mobile.twitter.com","Twitter Lite")</f>
        <v>Twitter Lite</v>
      </c>
      <c r="L467" s="12">
        <v>4179</v>
      </c>
      <c r="M467" s="12">
        <v>3454</v>
      </c>
      <c r="N467" s="12">
        <v>13</v>
      </c>
      <c r="O467" s="14"/>
      <c r="P467" s="6">
        <v>41381.421180555553</v>
      </c>
      <c r="Q467" s="15" t="s">
        <v>1764</v>
      </c>
      <c r="R467" s="17" t="s">
        <v>1765</v>
      </c>
      <c r="S467" s="11"/>
      <c r="T467" s="11"/>
      <c r="U467" s="10" t="str">
        <f>HYPERLINK("https://pbs.twimg.com/profile_images/1034314700148944896/xWGyZsMT.jpg","View")</f>
        <v>View</v>
      </c>
    </row>
    <row r="468" spans="1:21" ht="20.399999999999999">
      <c r="A468" s="6">
        <v>43441.563703703709</v>
      </c>
      <c r="B468" s="7" t="str">
        <f>HYPERLINK("https://twitter.com/DeMarichalar_","@DeMarichalar_")</f>
        <v>@DeMarichalar_</v>
      </c>
      <c r="C468" s="8" t="s">
        <v>1766</v>
      </c>
      <c r="D468" s="9" t="s">
        <v>1767</v>
      </c>
      <c r="E468" s="10" t="str">
        <f>HYPERLINK("https://twitter.com/DeMarichalar_/status/1071019426345086976","1071019426345086976")</f>
        <v>1071019426345086976</v>
      </c>
      <c r="F468" s="11"/>
      <c r="G468" s="11"/>
      <c r="H468" s="11"/>
      <c r="I468" s="12">
        <v>1</v>
      </c>
      <c r="J468" s="12">
        <v>6</v>
      </c>
      <c r="K468" s="13" t="str">
        <f>HYPERLINK("http://twitter.com","Twitter Web Client")</f>
        <v>Twitter Web Client</v>
      </c>
      <c r="L468" s="12">
        <v>38</v>
      </c>
      <c r="M468" s="12">
        <v>17</v>
      </c>
      <c r="N468" s="12">
        <v>0</v>
      </c>
      <c r="O468" s="14"/>
      <c r="P468" s="6">
        <v>42846.928032407406</v>
      </c>
      <c r="Q468" s="15" t="s">
        <v>1768</v>
      </c>
      <c r="R468" s="17" t="s">
        <v>1769</v>
      </c>
      <c r="S468" s="16" t="s">
        <v>1770</v>
      </c>
      <c r="T468" s="11"/>
      <c r="U468" s="10" t="str">
        <f>HYPERLINK("https://pbs.twimg.com/profile_images/991725197429534720/1RRud5e3.jpg","View")</f>
        <v>View</v>
      </c>
    </row>
    <row r="469" spans="1:21" ht="30.6">
      <c r="A469" s="6">
        <v>43441.562314814815</v>
      </c>
      <c r="B469" s="7" t="str">
        <f>HYPERLINK("https://twitter.com/jmsalvade","@jmsalvade")</f>
        <v>@jmsalvade</v>
      </c>
      <c r="C469" s="8" t="s">
        <v>66</v>
      </c>
      <c r="D469" s="9" t="s">
        <v>1771</v>
      </c>
      <c r="E469" s="10" t="str">
        <f>HYPERLINK("https://twitter.com/jmsalvade/status/1071018921954865159","1071018921954865159")</f>
        <v>1071018921954865159</v>
      </c>
      <c r="F469" s="16" t="s">
        <v>1772</v>
      </c>
      <c r="G469" s="11"/>
      <c r="H469" s="11"/>
      <c r="I469" s="12">
        <v>1</v>
      </c>
      <c r="J469" s="12">
        <v>0</v>
      </c>
      <c r="K469" s="13" t="str">
        <f>HYPERLINK("http://twitter.com/download/iphone","Twitter for iPhone")</f>
        <v>Twitter for iPhone</v>
      </c>
      <c r="L469" s="12">
        <v>362</v>
      </c>
      <c r="M469" s="12">
        <v>695</v>
      </c>
      <c r="N469" s="12">
        <v>15</v>
      </c>
      <c r="O469" s="14"/>
      <c r="P469" s="6">
        <v>41260.869745370372</v>
      </c>
      <c r="Q469" s="11"/>
      <c r="R469" s="17" t="s">
        <v>70</v>
      </c>
      <c r="S469" s="16" t="s">
        <v>71</v>
      </c>
      <c r="T469" s="11"/>
      <c r="U469" s="10" t="str">
        <f>HYPERLINK("https://pbs.twimg.com/profile_images/455739214663917568/tdXuqCOx.jpeg","View")</f>
        <v>View</v>
      </c>
    </row>
    <row r="470" spans="1:21" ht="51">
      <c r="A470" s="6">
        <v>43441.558692129634</v>
      </c>
      <c r="B470" s="7" t="str">
        <f>HYPERLINK("https://twitter.com/RIVAS_Llanera","@RIVAS_Llanera")</f>
        <v>@RIVAS_Llanera</v>
      </c>
      <c r="C470" s="8" t="s">
        <v>1773</v>
      </c>
      <c r="D470" s="9" t="s">
        <v>1774</v>
      </c>
      <c r="E470" s="10" t="str">
        <f>HYPERLINK("https://twitter.com/RIVAS_Llanera/status/1071017610152738817","1071017610152738817")</f>
        <v>1071017610152738817</v>
      </c>
      <c r="F470" s="11"/>
      <c r="G470" s="16" t="s">
        <v>1164</v>
      </c>
      <c r="H470" s="11"/>
      <c r="I470" s="12">
        <v>359</v>
      </c>
      <c r="J470" s="12">
        <v>403</v>
      </c>
      <c r="K470" s="13" t="str">
        <f>HYPERLINK("http://twitter.com/download/android","Twitter for Android")</f>
        <v>Twitter for Android</v>
      </c>
      <c r="L470" s="12">
        <v>2909</v>
      </c>
      <c r="M470" s="12">
        <v>2195</v>
      </c>
      <c r="N470" s="12">
        <v>173</v>
      </c>
      <c r="O470" s="14"/>
      <c r="P470" s="6">
        <v>42340.7815162037</v>
      </c>
      <c r="Q470" s="15" t="s">
        <v>1775</v>
      </c>
      <c r="R470" s="17" t="s">
        <v>1776</v>
      </c>
      <c r="S470" s="11"/>
      <c r="T470" s="11"/>
      <c r="U470" s="10" t="str">
        <f>HYPERLINK("https://pbs.twimg.com/profile_images/909392197409263616/4WboAKrD.jpg","View")</f>
        <v>View</v>
      </c>
    </row>
    <row r="471" spans="1:21" ht="51">
      <c r="A471" s="6">
        <v>43441.558449074073</v>
      </c>
      <c r="B471" s="7" t="str">
        <f>HYPERLINK("https://twitter.com/toolatetomend","@toolatetomend")</f>
        <v>@toolatetomend</v>
      </c>
      <c r="C471" s="8" t="s">
        <v>1777</v>
      </c>
      <c r="D471" s="9" t="s">
        <v>1778</v>
      </c>
      <c r="E471" s="10" t="str">
        <f>HYPERLINK("https://twitter.com/toolatetomend/status/1071017521212477440","1071017521212477440")</f>
        <v>1071017521212477440</v>
      </c>
      <c r="F471" s="11"/>
      <c r="G471" s="11"/>
      <c r="H471" s="11"/>
      <c r="I471" s="12">
        <v>0</v>
      </c>
      <c r="J471" s="12">
        <v>1</v>
      </c>
      <c r="K471" s="13" t="str">
        <f>HYPERLINK("http://twitter.com","Twitter Web Client")</f>
        <v>Twitter Web Client</v>
      </c>
      <c r="L471" s="12">
        <v>247</v>
      </c>
      <c r="M471" s="12">
        <v>922</v>
      </c>
      <c r="N471" s="12">
        <v>1</v>
      </c>
      <c r="O471" s="14"/>
      <c r="P471" s="6">
        <v>41426.396053240736</v>
      </c>
      <c r="Q471" s="15" t="s">
        <v>709</v>
      </c>
      <c r="R471" s="17" t="s">
        <v>1779</v>
      </c>
      <c r="S471" s="11"/>
      <c r="T471" s="11"/>
      <c r="U471" s="10" t="str">
        <f>HYPERLINK("https://pbs.twimg.com/profile_images/462178675610230784/hEC8Aev_.jpeg","View")</f>
        <v>View</v>
      </c>
    </row>
    <row r="472" spans="1:21" ht="51">
      <c r="A472" s="6">
        <v>43441.554027777776</v>
      </c>
      <c r="B472" s="7" t="str">
        <f>HYPERLINK("https://twitter.com/VoxtalaveraR","@VoxtalaveraR")</f>
        <v>@VoxtalaveraR</v>
      </c>
      <c r="C472" s="8" t="s">
        <v>1780</v>
      </c>
      <c r="D472" s="9" t="s">
        <v>1781</v>
      </c>
      <c r="E472" s="10" t="str">
        <f>HYPERLINK("https://twitter.com/VoxtalaveraR/status/1071015919340699648","1071015919340699648")</f>
        <v>1071015919340699648</v>
      </c>
      <c r="F472" s="11"/>
      <c r="G472" s="16" t="s">
        <v>1782</v>
      </c>
      <c r="H472" s="11"/>
      <c r="I472" s="12">
        <v>1</v>
      </c>
      <c r="J472" s="12">
        <v>3</v>
      </c>
      <c r="K472" s="13" t="str">
        <f>HYPERLINK("http://twitter.com/download/iphone","Twitter for iPhone")</f>
        <v>Twitter for iPhone</v>
      </c>
      <c r="L472" s="12">
        <v>163</v>
      </c>
      <c r="M472" s="12">
        <v>335</v>
      </c>
      <c r="N472" s="12">
        <v>0</v>
      </c>
      <c r="O472" s="14"/>
      <c r="P472" s="6">
        <v>43394.752418981487</v>
      </c>
      <c r="Q472" s="15" t="s">
        <v>1783</v>
      </c>
      <c r="R472" s="17" t="s">
        <v>1784</v>
      </c>
      <c r="S472" s="16" t="s">
        <v>1785</v>
      </c>
      <c r="T472" s="11"/>
      <c r="U472" s="10" t="str">
        <f>HYPERLINK("https://pbs.twimg.com/profile_images/1055140300597981188/5hOA4Z8f.jpg","View")</f>
        <v>View</v>
      </c>
    </row>
    <row r="473" spans="1:21" ht="51">
      <c r="A473" s="6">
        <v>43441.553645833337</v>
      </c>
      <c r="B473" s="7" t="str">
        <f>HYPERLINK("https://twitter.com/CardenalHilde","@CardenalHilde")</f>
        <v>@CardenalHilde</v>
      </c>
      <c r="C473" s="8" t="s">
        <v>1786</v>
      </c>
      <c r="D473" s="9" t="s">
        <v>1787</v>
      </c>
      <c r="E473" s="10" t="str">
        <f>HYPERLINK("https://twitter.com/CardenalHilde/status/1071015779741655041","1071015779741655041")</f>
        <v>1071015779741655041</v>
      </c>
      <c r="F473" s="11"/>
      <c r="G473" s="11"/>
      <c r="H473" s="11"/>
      <c r="I473" s="12">
        <v>0</v>
      </c>
      <c r="J473" s="12">
        <v>0</v>
      </c>
      <c r="K473" s="13" t="str">
        <f t="shared" ref="K473:K474" si="125">HYPERLINK("http://twitter.com/download/android","Twitter for Android")</f>
        <v>Twitter for Android</v>
      </c>
      <c r="L473" s="12">
        <v>37</v>
      </c>
      <c r="M473" s="12">
        <v>107</v>
      </c>
      <c r="N473" s="12">
        <v>0</v>
      </c>
      <c r="O473" s="14"/>
      <c r="P473" s="6">
        <v>43439.58594907407</v>
      </c>
      <c r="Q473" s="15" t="s">
        <v>1788</v>
      </c>
      <c r="R473" s="17" t="s">
        <v>1789</v>
      </c>
      <c r="S473" s="11"/>
      <c r="T473" s="11"/>
      <c r="U473" s="10" t="str">
        <f>HYPERLINK("https://pbs.twimg.com/profile_images/1070304797683826689/BhK0hEUo.jpg","View")</f>
        <v>View</v>
      </c>
    </row>
    <row r="474" spans="1:21" ht="81.599999999999994">
      <c r="A474" s="6">
        <v>43441.551469907412</v>
      </c>
      <c r="B474" s="7" t="str">
        <f>HYPERLINK("https://twitter.com/JrpegoV","@JrpegoV")</f>
        <v>@JrpegoV</v>
      </c>
      <c r="C474" s="8" t="s">
        <v>1790</v>
      </c>
      <c r="D474" s="9" t="s">
        <v>1791</v>
      </c>
      <c r="E474" s="10" t="str">
        <f>HYPERLINK("https://twitter.com/JrpegoV/status/1071014991132811265","1071014991132811265")</f>
        <v>1071014991132811265</v>
      </c>
      <c r="F474" s="15" t="s">
        <v>219</v>
      </c>
      <c r="G474" s="11"/>
      <c r="H474" s="11"/>
      <c r="I474" s="12">
        <v>0</v>
      </c>
      <c r="J474" s="12">
        <v>0</v>
      </c>
      <c r="K474" s="13" t="str">
        <f t="shared" si="125"/>
        <v>Twitter for Android</v>
      </c>
      <c r="L474" s="12">
        <v>1473</v>
      </c>
      <c r="M474" s="12">
        <v>1444</v>
      </c>
      <c r="N474" s="12">
        <v>10</v>
      </c>
      <c r="O474" s="14"/>
      <c r="P474" s="6">
        <v>41401.725370370368</v>
      </c>
      <c r="Q474" s="15" t="s">
        <v>1792</v>
      </c>
      <c r="R474" s="17" t="s">
        <v>1793</v>
      </c>
      <c r="S474" s="11"/>
      <c r="T474" s="11"/>
      <c r="U474" s="10" t="str">
        <f>HYPERLINK("https://pbs.twimg.com/profile_images/378800000742359239/8872e287887fedbd39b53fe4e41affd6.jpeg","View")</f>
        <v>View</v>
      </c>
    </row>
    <row r="475" spans="1:21" ht="51">
      <c r="A475" s="6">
        <v>43441.550949074073</v>
      </c>
      <c r="B475" s="7" t="str">
        <f>HYPERLINK("https://twitter.com/jemahuja","@jemahuja")</f>
        <v>@jemahuja</v>
      </c>
      <c r="C475" s="8" t="s">
        <v>488</v>
      </c>
      <c r="D475" s="9" t="s">
        <v>1794</v>
      </c>
      <c r="E475" s="10" t="str">
        <f>HYPERLINK("https://twitter.com/jemahuja/status/1071014805379665920","1071014805379665920")</f>
        <v>1071014805379665920</v>
      </c>
      <c r="F475" s="11"/>
      <c r="G475" s="16" t="s">
        <v>1235</v>
      </c>
      <c r="H475" s="11"/>
      <c r="I475" s="12">
        <v>67</v>
      </c>
      <c r="J475" s="12">
        <v>41</v>
      </c>
      <c r="K475" s="13" t="str">
        <f>HYPERLINK("http://www.facebook.com/twitter","Facebook")</f>
        <v>Facebook</v>
      </c>
      <c r="L475" s="12">
        <v>4865</v>
      </c>
      <c r="M475" s="12">
        <v>5077</v>
      </c>
      <c r="N475" s="12">
        <v>69</v>
      </c>
      <c r="O475" s="14"/>
      <c r="P475" s="6">
        <v>40624.647256944445</v>
      </c>
      <c r="Q475" s="11"/>
      <c r="R475" s="17" t="s">
        <v>491</v>
      </c>
      <c r="S475" s="16" t="s">
        <v>492</v>
      </c>
      <c r="T475" s="11"/>
      <c r="U475" s="10" t="str">
        <f>HYPERLINK("https://pbs.twimg.com/profile_images/979014863442907137/Qus9jozf.jpg","View")</f>
        <v>View</v>
      </c>
    </row>
    <row r="476" spans="1:21" ht="51">
      <c r="A476" s="6">
        <v>43441.548807870371</v>
      </c>
      <c r="B476" s="7" t="str">
        <f>HYPERLINK("https://twitter.com/Emonru","@Emonru")</f>
        <v>@Emonru</v>
      </c>
      <c r="C476" s="8" t="s">
        <v>1795</v>
      </c>
      <c r="D476" s="9" t="s">
        <v>1796</v>
      </c>
      <c r="E476" s="10" t="str">
        <f>HYPERLINK("https://twitter.com/Emonru/status/1071014027898306561","1071014027898306561")</f>
        <v>1071014027898306561</v>
      </c>
      <c r="F476" s="16" t="s">
        <v>1797</v>
      </c>
      <c r="G476" s="11"/>
      <c r="H476" s="11"/>
      <c r="I476" s="12">
        <v>0</v>
      </c>
      <c r="J476" s="12">
        <v>0</v>
      </c>
      <c r="K476" s="13" t="str">
        <f t="shared" ref="K476:K480" si="126">HYPERLINK("http://twitter.com/download/android","Twitter for Android")</f>
        <v>Twitter for Android</v>
      </c>
      <c r="L476" s="12">
        <v>86</v>
      </c>
      <c r="M476" s="12">
        <v>326</v>
      </c>
      <c r="N476" s="12">
        <v>3</v>
      </c>
      <c r="O476" s="14"/>
      <c r="P476" s="6">
        <v>40579.609120370369</v>
      </c>
      <c r="Q476" s="15" t="s">
        <v>1798</v>
      </c>
      <c r="R476" s="17" t="s">
        <v>1799</v>
      </c>
      <c r="S476" s="11"/>
      <c r="T476" s="11"/>
      <c r="U476" s="10" t="str">
        <f>HYPERLINK("https://pbs.twimg.com/profile_images/636440060313882624/Wqgbnt_1.jpg","View")</f>
        <v>View</v>
      </c>
    </row>
    <row r="477" spans="1:21" ht="40.799999999999997">
      <c r="A477" s="6">
        <v>43441.545474537037</v>
      </c>
      <c r="B477" s="7" t="str">
        <f>HYPERLINK("https://twitter.com/lacienciadletra","@lacienciadletra")</f>
        <v>@lacienciadletra</v>
      </c>
      <c r="C477" s="8" t="s">
        <v>1800</v>
      </c>
      <c r="D477" s="9" t="s">
        <v>1801</v>
      </c>
      <c r="E477" s="10" t="str">
        <f>HYPERLINK("https://twitter.com/lacienciadletra/status/1071012819213185025","1071012819213185025")</f>
        <v>1071012819213185025</v>
      </c>
      <c r="F477" s="11"/>
      <c r="G477" s="16" t="s">
        <v>1802</v>
      </c>
      <c r="H477" s="11"/>
      <c r="I477" s="12">
        <v>0</v>
      </c>
      <c r="J477" s="12">
        <v>0</v>
      </c>
      <c r="K477" s="13" t="str">
        <f t="shared" si="126"/>
        <v>Twitter for Android</v>
      </c>
      <c r="L477" s="12">
        <v>118</v>
      </c>
      <c r="M477" s="12">
        <v>721</v>
      </c>
      <c r="N477" s="12">
        <v>0</v>
      </c>
      <c r="O477" s="14"/>
      <c r="P477" s="6">
        <v>42547.480185185181</v>
      </c>
      <c r="Q477" s="15" t="s">
        <v>1803</v>
      </c>
      <c r="R477" s="17" t="s">
        <v>1804</v>
      </c>
      <c r="S477" s="11"/>
      <c r="T477" s="11"/>
      <c r="U477" s="10" t="str">
        <f>HYPERLINK("https://pbs.twimg.com/profile_images/1071386457628131328/jm2mW470.jpg","View")</f>
        <v>View</v>
      </c>
    </row>
    <row r="478" spans="1:21" ht="51">
      <c r="A478" s="6">
        <v>43441.540613425925</v>
      </c>
      <c r="B478" s="7" t="str">
        <f>HYPERLINK("https://twitter.com/Jarama62","@Jarama62")</f>
        <v>@Jarama62</v>
      </c>
      <c r="C478" s="8" t="s">
        <v>1805</v>
      </c>
      <c r="D478" s="9" t="s">
        <v>1806</v>
      </c>
      <c r="E478" s="10" t="str">
        <f>HYPERLINK("https://twitter.com/Jarama62/status/1071011057592922112","1071011057592922112")</f>
        <v>1071011057592922112</v>
      </c>
      <c r="F478" s="11"/>
      <c r="G478" s="16" t="s">
        <v>1235</v>
      </c>
      <c r="H478" s="11"/>
      <c r="I478" s="12">
        <v>6</v>
      </c>
      <c r="J478" s="12">
        <v>10</v>
      </c>
      <c r="K478" s="13" t="str">
        <f t="shared" si="126"/>
        <v>Twitter for Android</v>
      </c>
      <c r="L478" s="12">
        <v>1441</v>
      </c>
      <c r="M478" s="12">
        <v>2714</v>
      </c>
      <c r="N478" s="12">
        <v>16</v>
      </c>
      <c r="O478" s="14"/>
      <c r="P478" s="6">
        <v>40862.012071759258</v>
      </c>
      <c r="Q478" s="11"/>
      <c r="R478" s="17" t="s">
        <v>1807</v>
      </c>
      <c r="S478" s="11"/>
      <c r="T478" s="11"/>
      <c r="U478" s="10" t="str">
        <f>HYPERLINK("https://pbs.twimg.com/profile_images/1003196002315186176/-ZcFUSi0.jpg","View")</f>
        <v>View</v>
      </c>
    </row>
    <row r="479" spans="1:21" ht="61.2">
      <c r="A479" s="6">
        <v>43441.539803240739</v>
      </c>
      <c r="B479" s="7" t="str">
        <f>HYPERLINK("https://twitter.com/estelocantabro","@estelocantabro")</f>
        <v>@estelocantabro</v>
      </c>
      <c r="C479" s="8" t="s">
        <v>1808</v>
      </c>
      <c r="D479" s="9" t="s">
        <v>1809</v>
      </c>
      <c r="E479" s="10" t="str">
        <f>HYPERLINK("https://twitter.com/estelocantabro/status/1071010763689652225","1071010763689652225")</f>
        <v>1071010763689652225</v>
      </c>
      <c r="F479" s="11"/>
      <c r="G479" s="11"/>
      <c r="H479" s="11"/>
      <c r="I479" s="12">
        <v>0</v>
      </c>
      <c r="J479" s="12">
        <v>0</v>
      </c>
      <c r="K479" s="13" t="str">
        <f t="shared" si="126"/>
        <v>Twitter for Android</v>
      </c>
      <c r="L479" s="12">
        <v>44</v>
      </c>
      <c r="M479" s="12">
        <v>150</v>
      </c>
      <c r="N479" s="12">
        <v>0</v>
      </c>
      <c r="O479" s="14"/>
      <c r="P479" s="6">
        <v>41865.851365740738</v>
      </c>
      <c r="Q479" s="15" t="s">
        <v>612</v>
      </c>
      <c r="R479" s="17" t="s">
        <v>1810</v>
      </c>
      <c r="S479" s="11"/>
      <c r="T479" s="11"/>
      <c r="U479" s="10" t="str">
        <f>HYPERLINK("https://pbs.twimg.com/profile_images/1049196910865797120/3Le6Nh8a.jpg","View")</f>
        <v>View</v>
      </c>
    </row>
    <row r="480" spans="1:21" ht="61.2">
      <c r="A480" s="6">
        <v>43441.537754629629</v>
      </c>
      <c r="B480" s="7" t="str">
        <f>HYPERLINK("https://twitter.com/UriCAT84","@UriCAT84")</f>
        <v>@UriCAT84</v>
      </c>
      <c r="C480" s="8" t="s">
        <v>135</v>
      </c>
      <c r="D480" s="9" t="s">
        <v>1811</v>
      </c>
      <c r="E480" s="10" t="str">
        <f>HYPERLINK("https://twitter.com/UriCAT84/status/1071010021574631424","1071010021574631424")</f>
        <v>1071010021574631424</v>
      </c>
      <c r="F480" s="11"/>
      <c r="G480" s="16" t="s">
        <v>1812</v>
      </c>
      <c r="H480" s="11"/>
      <c r="I480" s="12">
        <v>0</v>
      </c>
      <c r="J480" s="12">
        <v>1</v>
      </c>
      <c r="K480" s="13" t="str">
        <f t="shared" si="126"/>
        <v>Twitter for Android</v>
      </c>
      <c r="L480" s="12">
        <v>1229</v>
      </c>
      <c r="M480" s="12">
        <v>2065</v>
      </c>
      <c r="N480" s="12">
        <v>0</v>
      </c>
      <c r="O480" s="14"/>
      <c r="P480" s="6">
        <v>40701.65960648148</v>
      </c>
      <c r="Q480" s="11"/>
      <c r="R480" s="18"/>
      <c r="S480" s="11"/>
      <c r="T480" s="11"/>
      <c r="U480" s="10" t="str">
        <f>HYPERLINK("https://pbs.twimg.com/profile_images/915586738516561920/C960_H5-.jpg","View")</f>
        <v>View</v>
      </c>
    </row>
    <row r="481" spans="1:21" ht="40.799999999999997">
      <c r="A481" s="6">
        <v>43441.536562499998</v>
      </c>
      <c r="B481" s="7" t="str">
        <f>HYPERLINK("https://twitter.com/Sneca5","@Sneca5")</f>
        <v>@Sneca5</v>
      </c>
      <c r="C481" s="8" t="s">
        <v>1813</v>
      </c>
      <c r="D481" s="9" t="s">
        <v>1814</v>
      </c>
      <c r="E481" s="10" t="str">
        <f>HYPERLINK("https://twitter.com/Sneca5/status/1071009590790238213","1071009590790238213")</f>
        <v>1071009590790238213</v>
      </c>
      <c r="F481" s="11"/>
      <c r="G481" s="11"/>
      <c r="H481" s="11"/>
      <c r="I481" s="12">
        <v>0</v>
      </c>
      <c r="J481" s="12">
        <v>0</v>
      </c>
      <c r="K481" s="13" t="str">
        <f>HYPERLINK("https://mobile.twitter.com","Twitter Lite")</f>
        <v>Twitter Lite</v>
      </c>
      <c r="L481" s="12">
        <v>12</v>
      </c>
      <c r="M481" s="12">
        <v>43</v>
      </c>
      <c r="N481" s="12">
        <v>0</v>
      </c>
      <c r="O481" s="14"/>
      <c r="P481" s="6">
        <v>42846.454699074078</v>
      </c>
      <c r="Q481" s="15" t="s">
        <v>1815</v>
      </c>
      <c r="R481" s="17" t="s">
        <v>1816</v>
      </c>
      <c r="S481" s="11"/>
      <c r="T481" s="11"/>
      <c r="U481" s="10" t="str">
        <f>HYPERLINK("https://pbs.twimg.com/profile_images/855346109450997760/LlEE2uYl.jpg","View")</f>
        <v>View</v>
      </c>
    </row>
    <row r="482" spans="1:21" ht="20.399999999999999">
      <c r="A482" s="6">
        <v>43441.535821759258</v>
      </c>
      <c r="B482" s="7" t="str">
        <f>HYPERLINK("https://twitter.com/JavierGarcaMarn","@JavierGarcaMarn")</f>
        <v>@JavierGarcaMarn</v>
      </c>
      <c r="C482" s="8" t="s">
        <v>1817</v>
      </c>
      <c r="D482" s="9" t="s">
        <v>1818</v>
      </c>
      <c r="E482" s="10" t="str">
        <f>HYPERLINK("https://twitter.com/JavierGarcaMarn/status/1071009323982172165","1071009323982172165")</f>
        <v>1071009323982172165</v>
      </c>
      <c r="F482" s="11"/>
      <c r="G482" s="16" t="s">
        <v>1819</v>
      </c>
      <c r="H482" s="11"/>
      <c r="I482" s="12">
        <v>0</v>
      </c>
      <c r="J482" s="12">
        <v>0</v>
      </c>
      <c r="K482" s="13" t="str">
        <f t="shared" ref="K482:K483" si="127">HYPERLINK("http://twitter.com/download/android","Twitter for Android")</f>
        <v>Twitter for Android</v>
      </c>
      <c r="L482" s="12">
        <v>36</v>
      </c>
      <c r="M482" s="12">
        <v>30</v>
      </c>
      <c r="N482" s="12">
        <v>1</v>
      </c>
      <c r="O482" s="14"/>
      <c r="P482" s="6">
        <v>40654.726909722223</v>
      </c>
      <c r="Q482" s="11"/>
      <c r="R482" s="17" t="s">
        <v>1820</v>
      </c>
      <c r="S482" s="11"/>
      <c r="T482" s="11"/>
      <c r="U482" s="10" t="str">
        <f>HYPERLINK("https://pbs.twimg.com/profile_images/1070769972333420549/3XzvgFX3.jpg","View")</f>
        <v>View</v>
      </c>
    </row>
    <row r="483" spans="1:21" ht="112.2">
      <c r="A483" s="6">
        <v>43441.535636574074</v>
      </c>
      <c r="B483" s="7" t="str">
        <f>HYPERLINK("https://twitter.com/UriCAT84","@UriCAT84")</f>
        <v>@UriCAT84</v>
      </c>
      <c r="C483" s="8" t="s">
        <v>135</v>
      </c>
      <c r="D483" s="9" t="s">
        <v>1821</v>
      </c>
      <c r="E483" s="10" t="str">
        <f>HYPERLINK("https://twitter.com/UriCAT84/status/1071009254952394752","1071009254952394752")</f>
        <v>1071009254952394752</v>
      </c>
      <c r="F483" s="16" t="s">
        <v>137</v>
      </c>
      <c r="G483" s="16" t="s">
        <v>138</v>
      </c>
      <c r="H483" s="11"/>
      <c r="I483" s="12">
        <v>0</v>
      </c>
      <c r="J483" s="12">
        <v>1</v>
      </c>
      <c r="K483" s="13" t="str">
        <f t="shared" si="127"/>
        <v>Twitter for Android</v>
      </c>
      <c r="L483" s="12">
        <v>1229</v>
      </c>
      <c r="M483" s="12">
        <v>2065</v>
      </c>
      <c r="N483" s="12">
        <v>0</v>
      </c>
      <c r="O483" s="14"/>
      <c r="P483" s="6">
        <v>40701.65960648148</v>
      </c>
      <c r="Q483" s="11"/>
      <c r="R483" s="18"/>
      <c r="S483" s="11"/>
      <c r="T483" s="11"/>
      <c r="U483" s="10" t="str">
        <f>HYPERLINK("https://pbs.twimg.com/profile_images/915586738516561920/C960_H5-.jpg","View")</f>
        <v>View</v>
      </c>
    </row>
    <row r="484" spans="1:21" ht="30.6">
      <c r="A484" s="6">
        <v>43441.533391203702</v>
      </c>
      <c r="B484" s="7" t="str">
        <f>HYPERLINK("https://twitter.com/solutionsLab","@solutionsLab")</f>
        <v>@solutionsLab</v>
      </c>
      <c r="C484" s="8" t="s">
        <v>24</v>
      </c>
      <c r="D484" s="9" t="s">
        <v>1822</v>
      </c>
      <c r="E484" s="10" t="str">
        <f>HYPERLINK("https://twitter.com/solutionsLab/status/1071008442486349824","1071008442486349824")</f>
        <v>1071008442486349824</v>
      </c>
      <c r="F484" s="16" t="s">
        <v>1823</v>
      </c>
      <c r="G484" s="11"/>
      <c r="H484" s="11"/>
      <c r="I484" s="12">
        <v>0</v>
      </c>
      <c r="J484" s="12">
        <v>0</v>
      </c>
      <c r="K484" s="13" t="str">
        <f>HYPERLINK("http://www.facebook.com/twitter","Facebook")</f>
        <v>Facebook</v>
      </c>
      <c r="L484" s="12">
        <v>240</v>
      </c>
      <c r="M484" s="12">
        <v>481</v>
      </c>
      <c r="N484" s="12">
        <v>94</v>
      </c>
      <c r="O484" s="14"/>
      <c r="P484" s="6">
        <v>40744.423298611109</v>
      </c>
      <c r="Q484" s="15" t="s">
        <v>27</v>
      </c>
      <c r="R484" s="17" t="s">
        <v>28</v>
      </c>
      <c r="S484" s="16" t="s">
        <v>29</v>
      </c>
      <c r="T484" s="11"/>
      <c r="U484" s="10" t="str">
        <f>HYPERLINK("https://pbs.twimg.com/profile_images/378800000792350418/cff62bae966ba232c06ba644158379a6.jpeg","View")</f>
        <v>View</v>
      </c>
    </row>
    <row r="485" spans="1:21" ht="20.399999999999999">
      <c r="A485" s="6">
        <v>43441.529606481483</v>
      </c>
      <c r="B485" s="7" t="str">
        <f>HYPERLINK("https://twitter.com/Pepnano","@Pepnano")</f>
        <v>@Pepnano</v>
      </c>
      <c r="C485" s="8" t="s">
        <v>1824</v>
      </c>
      <c r="D485" s="9" t="s">
        <v>1825</v>
      </c>
      <c r="E485" s="10" t="str">
        <f>HYPERLINK("https://twitter.com/Pepnano/status/1071007072039374848","1071007072039374848")</f>
        <v>1071007072039374848</v>
      </c>
      <c r="F485" s="16" t="s">
        <v>1826</v>
      </c>
      <c r="G485" s="16" t="s">
        <v>1827</v>
      </c>
      <c r="H485" s="11"/>
      <c r="I485" s="12">
        <v>0</v>
      </c>
      <c r="J485" s="12">
        <v>0</v>
      </c>
      <c r="K485" s="13" t="str">
        <f>HYPERLINK("http://twitter.com","Twitter Web Client")</f>
        <v>Twitter Web Client</v>
      </c>
      <c r="L485" s="12">
        <v>1783</v>
      </c>
      <c r="M485" s="12">
        <v>354</v>
      </c>
      <c r="N485" s="12">
        <v>21</v>
      </c>
      <c r="O485" s="14"/>
      <c r="P485" s="6">
        <v>40767.620451388888</v>
      </c>
      <c r="Q485" s="15" t="s">
        <v>1828</v>
      </c>
      <c r="R485" s="17" t="s">
        <v>1829</v>
      </c>
      <c r="S485" s="11"/>
      <c r="T485" s="11"/>
      <c r="U485" s="10" t="str">
        <f>HYPERLINK("https://pbs.twimg.com/profile_images/533003282247995392/W8VykGg_.jpeg","View")</f>
        <v>View</v>
      </c>
    </row>
    <row r="486" spans="1:21" ht="61.2">
      <c r="A486" s="6">
        <v>43441.52725694445</v>
      </c>
      <c r="B486" s="7" t="str">
        <f>HYPERLINK("https://twitter.com/luigiaguilar","@luigiaguilar")</f>
        <v>@luigiaguilar</v>
      </c>
      <c r="C486" s="8" t="s">
        <v>1830</v>
      </c>
      <c r="D486" s="9" t="s">
        <v>1831</v>
      </c>
      <c r="E486" s="10" t="str">
        <f>HYPERLINK("https://twitter.com/luigiaguilar/status/1071006217097629696","1071006217097629696")</f>
        <v>1071006217097629696</v>
      </c>
      <c r="F486" s="11"/>
      <c r="G486" s="16" t="s">
        <v>1832</v>
      </c>
      <c r="H486" s="11"/>
      <c r="I486" s="12">
        <v>90</v>
      </c>
      <c r="J486" s="12">
        <v>98</v>
      </c>
      <c r="K486" s="13" t="str">
        <f>HYPERLINK("http://twitter.com/download/android","Twitter for Android")</f>
        <v>Twitter for Android</v>
      </c>
      <c r="L486" s="12">
        <v>40078</v>
      </c>
      <c r="M486" s="12">
        <v>34297</v>
      </c>
      <c r="N486" s="12">
        <v>200</v>
      </c>
      <c r="O486" s="14"/>
      <c r="P486" s="6">
        <v>39986.042592592596</v>
      </c>
      <c r="Q486" s="15" t="s">
        <v>1833</v>
      </c>
      <c r="R486" s="17" t="s">
        <v>1834</v>
      </c>
      <c r="S486" s="16" t="s">
        <v>1835</v>
      </c>
      <c r="T486" s="11"/>
      <c r="U486" s="10" t="str">
        <f>HYPERLINK("https://pbs.twimg.com/profile_images/1010513492133244928/kgQzFk57.jpg","View")</f>
        <v>View</v>
      </c>
    </row>
    <row r="487" spans="1:21" ht="20.399999999999999">
      <c r="A487" s="6">
        <v>43441.523622685185</v>
      </c>
      <c r="B487" s="7" t="str">
        <f>HYPERLINK("https://twitter.com/antoniomg31","@antoniomg31")</f>
        <v>@antoniomg31</v>
      </c>
      <c r="C487" s="8" t="s">
        <v>1836</v>
      </c>
      <c r="D487" s="9" t="s">
        <v>1837</v>
      </c>
      <c r="E487" s="10" t="str">
        <f>HYPERLINK("https://twitter.com/antoniomg31/status/1071004902091091968","1071004902091091968")</f>
        <v>1071004902091091968</v>
      </c>
      <c r="F487" s="11"/>
      <c r="G487" s="16" t="s">
        <v>1838</v>
      </c>
      <c r="H487" s="11"/>
      <c r="I487" s="12">
        <v>0</v>
      </c>
      <c r="J487" s="12">
        <v>3</v>
      </c>
      <c r="K487" s="13" t="str">
        <f t="shared" ref="K487:K488" si="128">HYPERLINK("http://twitter.com/download/iphone","Twitter for iPhone")</f>
        <v>Twitter for iPhone</v>
      </c>
      <c r="L487" s="12">
        <v>232</v>
      </c>
      <c r="M487" s="12">
        <v>247</v>
      </c>
      <c r="N487" s="12">
        <v>0</v>
      </c>
      <c r="O487" s="14"/>
      <c r="P487" s="6">
        <v>41765.882476851853</v>
      </c>
      <c r="Q487" s="15" t="s">
        <v>663</v>
      </c>
      <c r="R487" s="17" t="s">
        <v>1839</v>
      </c>
      <c r="S487" s="11"/>
      <c r="T487" s="11"/>
      <c r="U487" s="10" t="str">
        <f>HYPERLINK("https://pbs.twimg.com/profile_images/1058782014684491778/H4XB7g6y.jpg","View")</f>
        <v>View</v>
      </c>
    </row>
    <row r="488" spans="1:21" ht="30.6">
      <c r="A488" s="6">
        <v>43441.523287037038</v>
      </c>
      <c r="B488" s="7" t="str">
        <f>HYPERLINK("https://twitter.com/Edsonlfc","@Edsonlfc")</f>
        <v>@Edsonlfc</v>
      </c>
      <c r="C488" s="8" t="s">
        <v>1840</v>
      </c>
      <c r="D488" s="9" t="s">
        <v>1841</v>
      </c>
      <c r="E488" s="10" t="str">
        <f>HYPERLINK("https://twitter.com/Edsonlfc/status/1071004781232181249","1071004781232181249")</f>
        <v>1071004781232181249</v>
      </c>
      <c r="F488" s="11"/>
      <c r="G488" s="11"/>
      <c r="H488" s="11"/>
      <c r="I488" s="12">
        <v>0</v>
      </c>
      <c r="J488" s="12">
        <v>0</v>
      </c>
      <c r="K488" s="13" t="str">
        <f t="shared" si="128"/>
        <v>Twitter for iPhone</v>
      </c>
      <c r="L488" s="12">
        <v>623</v>
      </c>
      <c r="M488" s="12">
        <v>436</v>
      </c>
      <c r="N488" s="12">
        <v>4</v>
      </c>
      <c r="O488" s="14"/>
      <c r="P488" s="6">
        <v>40303.714131944442</v>
      </c>
      <c r="Q488" s="15" t="s">
        <v>1842</v>
      </c>
      <c r="R488" s="17" t="s">
        <v>1843</v>
      </c>
      <c r="S488" s="16" t="s">
        <v>1844</v>
      </c>
      <c r="T488" s="11"/>
      <c r="U488" s="10" t="str">
        <f>HYPERLINK("https://pbs.twimg.com/profile_images/1056513384433238018/cT-_wZaJ.jpg","View")</f>
        <v>View</v>
      </c>
    </row>
    <row r="489" spans="1:21" ht="40.799999999999997">
      <c r="A489" s="6">
        <v>43441.521747685183</v>
      </c>
      <c r="B489" s="7" t="str">
        <f>HYPERLINK("https://twitter.com/L44castilla","@L44castilla")</f>
        <v>@L44castilla</v>
      </c>
      <c r="C489" s="8" t="s">
        <v>1845</v>
      </c>
      <c r="D489" s="9" t="s">
        <v>1846</v>
      </c>
      <c r="E489" s="10" t="str">
        <f>HYPERLINK("https://twitter.com/L44castilla/status/1071004222051758081","1071004222051758081")</f>
        <v>1071004222051758081</v>
      </c>
      <c r="F489" s="11"/>
      <c r="G489" s="16" t="s">
        <v>1847</v>
      </c>
      <c r="H489" s="11"/>
      <c r="I489" s="12">
        <v>5</v>
      </c>
      <c r="J489" s="12">
        <v>4</v>
      </c>
      <c r="K489" s="13" t="str">
        <f>HYPERLINK("http://twitter.com/download/android","Twitter for Android")</f>
        <v>Twitter for Android</v>
      </c>
      <c r="L489" s="12">
        <v>3421</v>
      </c>
      <c r="M489" s="12">
        <v>4858</v>
      </c>
      <c r="N489" s="12">
        <v>15</v>
      </c>
      <c r="O489" s="14"/>
      <c r="P489" s="6">
        <v>40546.666168981479</v>
      </c>
      <c r="Q489" s="11"/>
      <c r="R489" s="17" t="s">
        <v>1848</v>
      </c>
      <c r="S489" s="11"/>
      <c r="T489" s="11"/>
      <c r="U489" s="10" t="str">
        <f>HYPERLINK("https://pbs.twimg.com/profile_images/899028331714289665/Mip5yTwF.jpg","View")</f>
        <v>View</v>
      </c>
    </row>
    <row r="490" spans="1:21" ht="51">
      <c r="A490" s="6">
        <v>43441.521643518514</v>
      </c>
      <c r="B490" s="7" t="str">
        <f>HYPERLINK("https://twitter.com/Jordiopelocho","@Jordiopelocho")</f>
        <v>@Jordiopelocho</v>
      </c>
      <c r="C490" s="8" t="s">
        <v>1849</v>
      </c>
      <c r="D490" s="9" t="s">
        <v>1850</v>
      </c>
      <c r="E490" s="10" t="str">
        <f>HYPERLINK("https://twitter.com/Jordiopelocho/status/1071004183137083392","1071004183137083392")</f>
        <v>1071004183137083392</v>
      </c>
      <c r="F490" s="11"/>
      <c r="G490" s="11"/>
      <c r="H490" s="11"/>
      <c r="I490" s="12">
        <v>0</v>
      </c>
      <c r="J490" s="12">
        <v>0</v>
      </c>
      <c r="K490" s="13" t="str">
        <f>HYPERLINK("http://twitter.com","Twitter Web Client")</f>
        <v>Twitter Web Client</v>
      </c>
      <c r="L490" s="12">
        <v>74</v>
      </c>
      <c r="M490" s="12">
        <v>20</v>
      </c>
      <c r="N490" s="12">
        <v>0</v>
      </c>
      <c r="O490" s="14"/>
      <c r="P490" s="6">
        <v>41930.859756944446</v>
      </c>
      <c r="Q490" s="15" t="s">
        <v>1851</v>
      </c>
      <c r="R490" s="17" t="s">
        <v>1852</v>
      </c>
      <c r="S490" s="16" t="s">
        <v>1853</v>
      </c>
      <c r="T490" s="11"/>
      <c r="U490" s="10" t="str">
        <f>HYPERLINK("https://pbs.twimg.com/profile_images/1067857031317598213/ZMHWZvTs.jpg","View")</f>
        <v>View</v>
      </c>
    </row>
    <row r="491" spans="1:21" ht="20.399999999999999">
      <c r="A491" s="6">
        <v>43441.519328703704</v>
      </c>
      <c r="B491" s="7" t="str">
        <f>HYPERLINK("https://twitter.com/itsnizarr","@itsnizarr")</f>
        <v>@itsnizarr</v>
      </c>
      <c r="C491" s="8" t="s">
        <v>1854</v>
      </c>
      <c r="D491" s="9" t="s">
        <v>1855</v>
      </c>
      <c r="E491" s="10" t="str">
        <f>HYPERLINK("https://twitter.com/itsnizarr/status/1071003346859909120","1071003346859909120")</f>
        <v>1071003346859909120</v>
      </c>
      <c r="F491" s="11"/>
      <c r="G491" s="16" t="s">
        <v>1856</v>
      </c>
      <c r="H491" s="11"/>
      <c r="I491" s="12">
        <v>0</v>
      </c>
      <c r="J491" s="12">
        <v>0</v>
      </c>
      <c r="K491" s="13" t="str">
        <f>HYPERLINK("http://twitter.com/download/android","Twitter for Android")</f>
        <v>Twitter for Android</v>
      </c>
      <c r="L491" s="12">
        <v>50</v>
      </c>
      <c r="M491" s="12">
        <v>229</v>
      </c>
      <c r="N491" s="12">
        <v>0</v>
      </c>
      <c r="O491" s="14"/>
      <c r="P491" s="6">
        <v>42995.777337962965</v>
      </c>
      <c r="Q491" s="15" t="s">
        <v>1857</v>
      </c>
      <c r="R491" s="17" t="s">
        <v>1858</v>
      </c>
      <c r="S491" s="11"/>
      <c r="T491" s="11"/>
      <c r="U491" s="10" t="str">
        <f>HYPERLINK("https://pbs.twimg.com/profile_images/1044194149975642112/Pd51zLJ6.jpg","View")</f>
        <v>View</v>
      </c>
    </row>
    <row r="492" spans="1:21" ht="40.799999999999997">
      <c r="A492" s="6">
        <v>43441.51871527778</v>
      </c>
      <c r="B492" s="7" t="str">
        <f>HYPERLINK("https://twitter.com/bellaindomita","@bellaindomita")</f>
        <v>@bellaindomita</v>
      </c>
      <c r="C492" s="8" t="s">
        <v>1859</v>
      </c>
      <c r="D492" s="9" t="s">
        <v>1860</v>
      </c>
      <c r="E492" s="10" t="str">
        <f>HYPERLINK("https://twitter.com/bellaindomita/status/1071003123546775553","1071003123546775553")</f>
        <v>1071003123546775553</v>
      </c>
      <c r="F492" s="11"/>
      <c r="G492" s="11"/>
      <c r="H492" s="11"/>
      <c r="I492" s="12">
        <v>2</v>
      </c>
      <c r="J492" s="12">
        <v>16</v>
      </c>
      <c r="K492" s="13" t="str">
        <f>HYPERLINK("http://twitter.com/download/iphone","Twitter for iPhone")</f>
        <v>Twitter for iPhone</v>
      </c>
      <c r="L492" s="12">
        <v>14589</v>
      </c>
      <c r="M492" s="12">
        <v>605</v>
      </c>
      <c r="N492" s="12">
        <v>210</v>
      </c>
      <c r="O492" s="14"/>
      <c r="P492" s="6">
        <v>39875.495624999996</v>
      </c>
      <c r="Q492" s="15" t="s">
        <v>1861</v>
      </c>
      <c r="R492" s="17" t="s">
        <v>1862</v>
      </c>
      <c r="S492" s="16" t="s">
        <v>1863</v>
      </c>
      <c r="T492" s="11"/>
      <c r="U492" s="10" t="str">
        <f>HYPERLINK("https://pbs.twimg.com/profile_images/1019999886375256066/57A9nYKn.jpg","View")</f>
        <v>View</v>
      </c>
    </row>
    <row r="493" spans="1:21" ht="51">
      <c r="A493" s="6">
        <v>43441.518379629633</v>
      </c>
      <c r="B493" s="7" t="str">
        <f>HYPERLINK("https://twitter.com/garciamarin1978","@garciamarin1978")</f>
        <v>@garciamarin1978</v>
      </c>
      <c r="C493" s="8" t="s">
        <v>1864</v>
      </c>
      <c r="D493" s="9" t="s">
        <v>1865</v>
      </c>
      <c r="E493" s="10" t="str">
        <f>HYPERLINK("https://twitter.com/garciamarin1978/status/1071003000976629761","1071003000976629761")</f>
        <v>1071003000976629761</v>
      </c>
      <c r="F493" s="11"/>
      <c r="G493" s="16" t="s">
        <v>1866</v>
      </c>
      <c r="H493" s="11"/>
      <c r="I493" s="12">
        <v>0</v>
      </c>
      <c r="J493" s="12">
        <v>0</v>
      </c>
      <c r="K493" s="13" t="str">
        <f t="shared" ref="K493:K495" si="129">HYPERLINK("http://twitter.com/download/android","Twitter for Android")</f>
        <v>Twitter for Android</v>
      </c>
      <c r="L493" s="12">
        <v>73</v>
      </c>
      <c r="M493" s="12">
        <v>196</v>
      </c>
      <c r="N493" s="12">
        <v>0</v>
      </c>
      <c r="O493" s="14"/>
      <c r="P493" s="6">
        <v>41107.414606481485</v>
      </c>
      <c r="Q493" s="15" t="s">
        <v>90</v>
      </c>
      <c r="R493" s="17" t="s">
        <v>1867</v>
      </c>
      <c r="S493" s="11"/>
      <c r="T493" s="11"/>
      <c r="U493" s="10" t="str">
        <f>HYPERLINK("https://pbs.twimg.com/profile_images/1018447455145295872/q_usnLMH.jpg","View")</f>
        <v>View</v>
      </c>
    </row>
    <row r="494" spans="1:21" ht="20.399999999999999">
      <c r="A494" s="6">
        <v>43441.516701388886</v>
      </c>
      <c r="B494" s="7" t="str">
        <f>HYPERLINK("https://twitter.com/josimoresan","@josimoresan")</f>
        <v>@josimoresan</v>
      </c>
      <c r="C494" s="8" t="s">
        <v>1868</v>
      </c>
      <c r="D494" s="9" t="s">
        <v>1869</v>
      </c>
      <c r="E494" s="10" t="str">
        <f>HYPERLINK("https://twitter.com/josimoresan/status/1071002393112920064","1071002393112920064")</f>
        <v>1071002393112920064</v>
      </c>
      <c r="F494" s="11"/>
      <c r="G494" s="11"/>
      <c r="H494" s="11"/>
      <c r="I494" s="12">
        <v>0</v>
      </c>
      <c r="J494" s="12">
        <v>0</v>
      </c>
      <c r="K494" s="13" t="str">
        <f t="shared" si="129"/>
        <v>Twitter for Android</v>
      </c>
      <c r="L494" s="12">
        <v>324</v>
      </c>
      <c r="M494" s="12">
        <v>1337</v>
      </c>
      <c r="N494" s="12">
        <v>3</v>
      </c>
      <c r="O494" s="14"/>
      <c r="P494" s="6">
        <v>40890.521111111113</v>
      </c>
      <c r="Q494" s="11"/>
      <c r="R494" s="17" t="s">
        <v>1870</v>
      </c>
      <c r="S494" s="11"/>
      <c r="T494" s="11"/>
      <c r="U494" s="10" t="str">
        <f>HYPERLINK("https://pbs.twimg.com/profile_images/975464547027947520/5Q10t_iR.jpg","View")</f>
        <v>View</v>
      </c>
    </row>
    <row r="495" spans="1:21" ht="13.2">
      <c r="A495" s="6">
        <v>43441.516527777778</v>
      </c>
      <c r="B495" s="7" t="str">
        <f>HYPERLINK("https://twitter.com/Santi_ABASCAL","@Santi_ABASCAL")</f>
        <v>@Santi_ABASCAL</v>
      </c>
      <c r="C495" s="8" t="s">
        <v>422</v>
      </c>
      <c r="D495" s="9" t="s">
        <v>1871</v>
      </c>
      <c r="E495" s="10" t="str">
        <f>HYPERLINK("https://twitter.com/Santi_ABASCAL/status/1071002328583626759","1071002328583626759")</f>
        <v>1071002328583626759</v>
      </c>
      <c r="F495" s="16" t="s">
        <v>1872</v>
      </c>
      <c r="G495" s="11"/>
      <c r="H495" s="11"/>
      <c r="I495" s="12">
        <v>1585</v>
      </c>
      <c r="J495" s="12">
        <v>3027</v>
      </c>
      <c r="K495" s="13" t="str">
        <f t="shared" si="129"/>
        <v>Twitter for Android</v>
      </c>
      <c r="L495" s="12">
        <v>136306</v>
      </c>
      <c r="M495" s="12">
        <v>3909</v>
      </c>
      <c r="N495" s="12">
        <v>965</v>
      </c>
      <c r="O495" s="23" t="s">
        <v>89</v>
      </c>
      <c r="P495" s="6">
        <v>40606.716446759259</v>
      </c>
      <c r="Q495" s="15" t="s">
        <v>426</v>
      </c>
      <c r="R495" s="17" t="s">
        <v>427</v>
      </c>
      <c r="S495" s="16" t="s">
        <v>428</v>
      </c>
      <c r="T495" s="11"/>
      <c r="U495" s="10" t="str">
        <f>HYPERLINK("https://pbs.twimg.com/profile_images/1010488787686879232/2CnqYKlD.jpg","View")</f>
        <v>View</v>
      </c>
    </row>
    <row r="496" spans="1:21" ht="30.6">
      <c r="A496" s="6">
        <v>43441.514884259261</v>
      </c>
      <c r="B496" s="7" t="str">
        <f>HYPERLINK("https://twitter.com/paco30317390","@paco30317390")</f>
        <v>@paco30317390</v>
      </c>
      <c r="C496" s="8" t="s">
        <v>1873</v>
      </c>
      <c r="D496" s="9" t="s">
        <v>1874</v>
      </c>
      <c r="E496" s="10" t="str">
        <f>HYPERLINK("https://twitter.com/paco30317390/status/1071001733969661952","1071001733969661952")</f>
        <v>1071001733969661952</v>
      </c>
      <c r="F496" s="11"/>
      <c r="G496" s="16" t="s">
        <v>1875</v>
      </c>
      <c r="H496" s="11"/>
      <c r="I496" s="12">
        <v>1</v>
      </c>
      <c r="J496" s="12">
        <v>3</v>
      </c>
      <c r="K496" s="13" t="str">
        <f>HYPERLINK("http://twitter.com","Twitter Web Client")</f>
        <v>Twitter Web Client</v>
      </c>
      <c r="L496" s="12">
        <v>1</v>
      </c>
      <c r="M496" s="12">
        <v>0</v>
      </c>
      <c r="N496" s="12">
        <v>0</v>
      </c>
      <c r="O496" s="14"/>
      <c r="P496" s="6">
        <v>43437.00513888889</v>
      </c>
      <c r="Q496" s="11"/>
      <c r="R496" s="18"/>
      <c r="S496" s="11"/>
      <c r="T496" s="11"/>
      <c r="U496" s="10" t="str">
        <f>HYPERLINK("https://pbs.twimg.com/profile_images/1069371097760579584/JzRysfuF.jpg","View")</f>
        <v>View</v>
      </c>
    </row>
    <row r="497" spans="1:21" ht="51">
      <c r="A497" s="6">
        <v>43441.514699074076</v>
      </c>
      <c r="B497" s="7" t="str">
        <f>HYPERLINK("https://twitter.com/Charlie_culeee","@Charlie_culeee")</f>
        <v>@Charlie_culeee</v>
      </c>
      <c r="C497" s="8" t="s">
        <v>1876</v>
      </c>
      <c r="D497" s="9" t="s">
        <v>1877</v>
      </c>
      <c r="E497" s="10" t="str">
        <f>HYPERLINK("https://twitter.com/Charlie_culeee/status/1071001666135224321","1071001666135224321")</f>
        <v>1071001666135224321</v>
      </c>
      <c r="F497" s="15" t="s">
        <v>1878</v>
      </c>
      <c r="G497" s="16" t="s">
        <v>1879</v>
      </c>
      <c r="H497" s="11"/>
      <c r="I497" s="12">
        <v>0</v>
      </c>
      <c r="J497" s="12">
        <v>0</v>
      </c>
      <c r="K497" s="13" t="str">
        <f t="shared" ref="K497:K498" si="130">HYPERLINK("http://twitter.com/download/iphone","Twitter for iPhone")</f>
        <v>Twitter for iPhone</v>
      </c>
      <c r="L497" s="12">
        <v>504</v>
      </c>
      <c r="M497" s="12">
        <v>563</v>
      </c>
      <c r="N497" s="12">
        <v>18</v>
      </c>
      <c r="O497" s="14"/>
      <c r="P497" s="6">
        <v>40545.809502314813</v>
      </c>
      <c r="Q497" s="15" t="s">
        <v>872</v>
      </c>
      <c r="R497" s="18"/>
      <c r="S497" s="11"/>
      <c r="T497" s="11"/>
      <c r="U497" s="10" t="str">
        <f>HYPERLINK("https://pbs.twimg.com/profile_images/3711978684/2097976c6f4dc3d54dfb4d1fd1379c02.jpeg","View")</f>
        <v>View</v>
      </c>
    </row>
    <row r="498" spans="1:21" ht="51">
      <c r="A498" s="6">
        <v>43441.51353009259</v>
      </c>
      <c r="B498" s="7" t="str">
        <f>HYPERLINK("https://twitter.com/buen_ppero","@buen_ppero")</f>
        <v>@buen_ppero</v>
      </c>
      <c r="C498" s="8" t="s">
        <v>1880</v>
      </c>
      <c r="D498" s="9" t="s">
        <v>1881</v>
      </c>
      <c r="E498" s="10" t="str">
        <f>HYPERLINK("https://twitter.com/buen_ppero/status/1071001244972519425","1071001244972519425")</f>
        <v>1071001244972519425</v>
      </c>
      <c r="F498" s="11"/>
      <c r="G498" s="11"/>
      <c r="H498" s="11"/>
      <c r="I498" s="12">
        <v>0</v>
      </c>
      <c r="J498" s="12">
        <v>1</v>
      </c>
      <c r="K498" s="13" t="str">
        <f t="shared" si="130"/>
        <v>Twitter for iPhone</v>
      </c>
      <c r="L498" s="12">
        <v>22</v>
      </c>
      <c r="M498" s="12">
        <v>105</v>
      </c>
      <c r="N498" s="12">
        <v>1</v>
      </c>
      <c r="O498" s="14"/>
      <c r="P498" s="6">
        <v>42707.003368055557</v>
      </c>
      <c r="Q498" s="15" t="s">
        <v>185</v>
      </c>
      <c r="R498" s="17" t="s">
        <v>1882</v>
      </c>
      <c r="S498" s="11"/>
      <c r="T498" s="11"/>
      <c r="U498" s="10" t="str">
        <f>HYPERLINK("https://pbs.twimg.com/profile_images/804826205363011588/_nTm3teb.jpg","View")</f>
        <v>View</v>
      </c>
    </row>
    <row r="499" spans="1:21" ht="40.799999999999997">
      <c r="A499" s="6">
        <v>43441.513275462959</v>
      </c>
      <c r="B499" s="7" t="str">
        <f>HYPERLINK("https://twitter.com/Adriguel","@Adriguel")</f>
        <v>@Adriguel</v>
      </c>
      <c r="C499" s="8" t="s">
        <v>1883</v>
      </c>
      <c r="D499" s="9" t="s">
        <v>1884</v>
      </c>
      <c r="E499" s="10" t="str">
        <f>HYPERLINK("https://twitter.com/Adriguel/status/1071001153557671938","1071001153557671938")</f>
        <v>1071001153557671938</v>
      </c>
      <c r="F499" s="15" t="s">
        <v>1878</v>
      </c>
      <c r="G499" s="16" t="s">
        <v>1879</v>
      </c>
      <c r="H499" s="11"/>
      <c r="I499" s="12">
        <v>0</v>
      </c>
      <c r="J499" s="12">
        <v>0</v>
      </c>
      <c r="K499" s="13" t="str">
        <f>HYPERLINK("https://about.twitter.com/products/tweetdeck","TweetDeck")</f>
        <v>TweetDeck</v>
      </c>
      <c r="L499" s="12">
        <v>690</v>
      </c>
      <c r="M499" s="12">
        <v>291</v>
      </c>
      <c r="N499" s="12">
        <v>11</v>
      </c>
      <c r="O499" s="14"/>
      <c r="P499" s="6">
        <v>40584.691365740742</v>
      </c>
      <c r="Q499" s="15" t="s">
        <v>1885</v>
      </c>
      <c r="R499" s="17" t="s">
        <v>1886</v>
      </c>
      <c r="S499" s="11"/>
      <c r="T499" s="11"/>
      <c r="U499" s="10" t="str">
        <f>HYPERLINK("https://pbs.twimg.com/profile_images/1033675560436809729/kAJVSH-E.jpg","View")</f>
        <v>View</v>
      </c>
    </row>
    <row r="500" spans="1:21" ht="40.799999999999997">
      <c r="A500" s="6">
        <v>43441.511458333334</v>
      </c>
      <c r="B500" s="7" t="str">
        <f>HYPERLINK("https://twitter.com/estoyharto1","@estoyharto1")</f>
        <v>@estoyharto1</v>
      </c>
      <c r="C500" s="8" t="s">
        <v>1887</v>
      </c>
      <c r="D500" s="9" t="s">
        <v>1888</v>
      </c>
      <c r="E500" s="10" t="str">
        <f>HYPERLINK("https://twitter.com/estoyharto1/status/1071000494615748608","1071000494615748608")</f>
        <v>1071000494615748608</v>
      </c>
      <c r="F500" s="11"/>
      <c r="G500" s="11"/>
      <c r="H500" s="11"/>
      <c r="I500" s="12">
        <v>0</v>
      </c>
      <c r="J500" s="12">
        <v>0</v>
      </c>
      <c r="K500" s="13" t="str">
        <f>HYPERLINK("http://twitter.com/download/iphone","Twitter for iPhone")</f>
        <v>Twitter for iPhone</v>
      </c>
      <c r="L500" s="12">
        <v>1464</v>
      </c>
      <c r="M500" s="12">
        <v>711</v>
      </c>
      <c r="N500" s="12">
        <v>5</v>
      </c>
      <c r="O500" s="14"/>
      <c r="P500" s="6">
        <v>41079.495462962965</v>
      </c>
      <c r="Q500" s="11"/>
      <c r="R500" s="17" t="s">
        <v>1889</v>
      </c>
      <c r="S500" s="11"/>
      <c r="T500" s="11"/>
      <c r="U500" s="10" t="str">
        <f>HYPERLINK("https://pbs.twimg.com/profile_images/917013967352016896/yPYBWVQf.jpg","View")</f>
        <v>View</v>
      </c>
    </row>
    <row r="501" spans="1:21" ht="40.799999999999997">
      <c r="A501" s="6">
        <v>43441.511400462958</v>
      </c>
      <c r="B501" s="7" t="str">
        <f>HYPERLINK("https://twitter.com/fjconpe","@fjconpe")</f>
        <v>@fjconpe</v>
      </c>
      <c r="C501" s="8" t="s">
        <v>1890</v>
      </c>
      <c r="D501" s="9" t="s">
        <v>1891</v>
      </c>
      <c r="E501" s="10" t="str">
        <f>HYPERLINK("https://twitter.com/fjconpe/status/1071000472570474497","1071000472570474497")</f>
        <v>1071000472570474497</v>
      </c>
      <c r="F501" s="16" t="s">
        <v>1892</v>
      </c>
      <c r="G501" s="11"/>
      <c r="H501" s="11"/>
      <c r="I501" s="12">
        <v>16</v>
      </c>
      <c r="J501" s="12">
        <v>30</v>
      </c>
      <c r="K501" s="13" t="str">
        <f>HYPERLINK("https://about.twitter.com/products/tweetdeck","TweetDeck")</f>
        <v>TweetDeck</v>
      </c>
      <c r="L501" s="12">
        <v>3693</v>
      </c>
      <c r="M501" s="12">
        <v>304</v>
      </c>
      <c r="N501" s="12">
        <v>47</v>
      </c>
      <c r="O501" s="14"/>
      <c r="P501" s="6">
        <v>40441.439803240741</v>
      </c>
      <c r="Q501" s="11"/>
      <c r="R501" s="17" t="s">
        <v>1893</v>
      </c>
      <c r="S501" s="16" t="s">
        <v>1894</v>
      </c>
      <c r="T501" s="11"/>
      <c r="U501" s="10" t="str">
        <f>HYPERLINK("https://pbs.twimg.com/profile_images/695707762681081856/aLeHoPz2.jpg","View")</f>
        <v>View</v>
      </c>
    </row>
    <row r="502" spans="1:21" ht="51">
      <c r="A502" s="6">
        <v>43441.508969907409</v>
      </c>
      <c r="B502" s="7" t="str">
        <f>HYPERLINK("https://twitter.com/cntrlaltsup","@cntrlaltsup")</f>
        <v>@cntrlaltsup</v>
      </c>
      <c r="C502" s="8" t="s">
        <v>1895</v>
      </c>
      <c r="D502" s="9" t="s">
        <v>1896</v>
      </c>
      <c r="E502" s="10" t="str">
        <f>HYPERLINK("https://twitter.com/cntrlaltsup/status/1070999590873296896","1070999590873296896")</f>
        <v>1070999590873296896</v>
      </c>
      <c r="F502" s="11"/>
      <c r="G502" s="11"/>
      <c r="H502" s="11"/>
      <c r="I502" s="12">
        <v>16</v>
      </c>
      <c r="J502" s="12">
        <v>58</v>
      </c>
      <c r="K502" s="13" t="str">
        <f>HYPERLINK("http://twitter.com","Twitter Web Client")</f>
        <v>Twitter Web Client</v>
      </c>
      <c r="L502" s="12">
        <v>518</v>
      </c>
      <c r="M502" s="12">
        <v>721</v>
      </c>
      <c r="N502" s="12">
        <v>23</v>
      </c>
      <c r="O502" s="14"/>
      <c r="P502" s="6">
        <v>40024.536944444444</v>
      </c>
      <c r="Q502" s="11"/>
      <c r="R502" s="17" t="s">
        <v>1897</v>
      </c>
      <c r="S502" s="11"/>
      <c r="T502" s="11"/>
      <c r="U502" s="10" t="str">
        <f>HYPERLINK("https://pbs.twimg.com/profile_images/1067410077081104384/eWFDRWmg.jpg","View")</f>
        <v>View</v>
      </c>
    </row>
    <row r="503" spans="1:21" ht="40.799999999999997">
      <c r="A503" s="6">
        <v>43441.507037037038</v>
      </c>
      <c r="B503" s="7" t="str">
        <f>HYPERLINK("https://twitter.com/estoyharto1","@estoyharto1")</f>
        <v>@estoyharto1</v>
      </c>
      <c r="C503" s="8" t="s">
        <v>1887</v>
      </c>
      <c r="D503" s="9" t="s">
        <v>1898</v>
      </c>
      <c r="E503" s="10" t="str">
        <f>HYPERLINK("https://twitter.com/estoyharto1/status/1070998889497530369","1070998889497530369")</f>
        <v>1070998889497530369</v>
      </c>
      <c r="F503" s="11"/>
      <c r="G503" s="11"/>
      <c r="H503" s="11"/>
      <c r="I503" s="12">
        <v>0</v>
      </c>
      <c r="J503" s="12">
        <v>1</v>
      </c>
      <c r="K503" s="13" t="str">
        <f>HYPERLINK("http://twitter.com/download/iphone","Twitter for iPhone")</f>
        <v>Twitter for iPhone</v>
      </c>
      <c r="L503" s="12">
        <v>1464</v>
      </c>
      <c r="M503" s="12">
        <v>711</v>
      </c>
      <c r="N503" s="12">
        <v>5</v>
      </c>
      <c r="O503" s="14"/>
      <c r="P503" s="6">
        <v>41079.495462962965</v>
      </c>
      <c r="Q503" s="11"/>
      <c r="R503" s="17" t="s">
        <v>1889</v>
      </c>
      <c r="S503" s="11"/>
      <c r="T503" s="11"/>
      <c r="U503" s="10" t="str">
        <f>HYPERLINK("https://pbs.twimg.com/profile_images/917013967352016896/yPYBWVQf.jpg","View")</f>
        <v>View</v>
      </c>
    </row>
    <row r="504" spans="1:21" ht="40.799999999999997">
      <c r="A504" s="6">
        <v>43441.50680555556</v>
      </c>
      <c r="B504" s="7" t="str">
        <f>HYPERLINK("https://twitter.com/ubedaenlared","@ubedaenlared")</f>
        <v>@ubedaenlared</v>
      </c>
      <c r="C504" s="8" t="s">
        <v>1899</v>
      </c>
      <c r="D504" s="9" t="s">
        <v>1900</v>
      </c>
      <c r="E504" s="10" t="str">
        <f>HYPERLINK("https://twitter.com/ubedaenlared/status/1070998807628926977","1070998807628926977")</f>
        <v>1070998807628926977</v>
      </c>
      <c r="F504" s="11"/>
      <c r="G504" s="11"/>
      <c r="H504" s="11"/>
      <c r="I504" s="12">
        <v>0</v>
      </c>
      <c r="J504" s="12">
        <v>0</v>
      </c>
      <c r="K504" s="13" t="str">
        <f t="shared" ref="K504:K506" si="131">HYPERLINK("http://twitter.com/download/android","Twitter for Android")</f>
        <v>Twitter for Android</v>
      </c>
      <c r="L504" s="12">
        <v>940</v>
      </c>
      <c r="M504" s="12">
        <v>533</v>
      </c>
      <c r="N504" s="12">
        <v>21</v>
      </c>
      <c r="O504" s="14"/>
      <c r="P504" s="6">
        <v>39989.691134259258</v>
      </c>
      <c r="Q504" s="15" t="s">
        <v>1901</v>
      </c>
      <c r="R504" s="17" t="s">
        <v>1902</v>
      </c>
      <c r="S504" s="16" t="s">
        <v>1903</v>
      </c>
      <c r="T504" s="11"/>
      <c r="U504" s="10" t="str">
        <f>HYPERLINK("https://pbs.twimg.com/profile_images/378800000642801354/e3e781a629cc4f04e61b2b33c96c8ce7.jpeg","View")</f>
        <v>View</v>
      </c>
    </row>
    <row r="505" spans="1:21" ht="51">
      <c r="A505" s="6">
        <v>43441.505254629628</v>
      </c>
      <c r="B505" s="7" t="str">
        <f>HYPERLINK("https://twitter.com/JacaPaca68","@JacaPaca68")</f>
        <v>@JacaPaca68</v>
      </c>
      <c r="C505" s="8" t="s">
        <v>1904</v>
      </c>
      <c r="D505" s="9" t="s">
        <v>1905</v>
      </c>
      <c r="E505" s="10" t="str">
        <f>HYPERLINK("https://twitter.com/JacaPaca68/status/1070998245965471744","1070998245965471744")</f>
        <v>1070998245965471744</v>
      </c>
      <c r="F505" s="11"/>
      <c r="G505" s="16" t="s">
        <v>1906</v>
      </c>
      <c r="H505" s="11"/>
      <c r="I505" s="12">
        <v>3</v>
      </c>
      <c r="J505" s="12">
        <v>3</v>
      </c>
      <c r="K505" s="13" t="str">
        <f t="shared" si="131"/>
        <v>Twitter for Android</v>
      </c>
      <c r="L505" s="12">
        <v>340</v>
      </c>
      <c r="M505" s="12">
        <v>308</v>
      </c>
      <c r="N505" s="12">
        <v>0</v>
      </c>
      <c r="O505" s="14"/>
      <c r="P505" s="6">
        <v>42929.868634259255</v>
      </c>
      <c r="Q505" s="15" t="s">
        <v>1907</v>
      </c>
      <c r="R505" s="17" t="s">
        <v>1908</v>
      </c>
      <c r="S505" s="11"/>
      <c r="T505" s="11"/>
      <c r="U505" s="10" t="str">
        <f>HYPERLINK("https://pbs.twimg.com/profile_images/948267795267104768/a1vLwFhk.jpg","View")</f>
        <v>View</v>
      </c>
    </row>
    <row r="506" spans="1:21" ht="51">
      <c r="A506" s="6">
        <v>43441.504872685182</v>
      </c>
      <c r="B506" s="7" t="str">
        <f>HYPERLINK("https://twitter.com/buch_prime","@buch_prime")</f>
        <v>@buch_prime</v>
      </c>
      <c r="C506" s="8" t="s">
        <v>1909</v>
      </c>
      <c r="D506" s="9" t="s">
        <v>1910</v>
      </c>
      <c r="E506" s="10" t="str">
        <f>HYPERLINK("https://twitter.com/buch_prime/status/1070998105825468417","1070998105825468417")</f>
        <v>1070998105825468417</v>
      </c>
      <c r="F506" s="11"/>
      <c r="G506" s="11"/>
      <c r="H506" s="11"/>
      <c r="I506" s="12">
        <v>0</v>
      </c>
      <c r="J506" s="12">
        <v>0</v>
      </c>
      <c r="K506" s="13" t="str">
        <f t="shared" si="131"/>
        <v>Twitter for Android</v>
      </c>
      <c r="L506" s="12">
        <v>311</v>
      </c>
      <c r="M506" s="12">
        <v>154</v>
      </c>
      <c r="N506" s="12">
        <v>5</v>
      </c>
      <c r="O506" s="14"/>
      <c r="P506" s="6">
        <v>41901.690069444448</v>
      </c>
      <c r="Q506" s="15" t="s">
        <v>1911</v>
      </c>
      <c r="R506" s="17" t="s">
        <v>1912</v>
      </c>
      <c r="S506" s="11"/>
      <c r="T506" s="11"/>
      <c r="U506" s="10" t="str">
        <f>HYPERLINK("https://pbs.twimg.com/profile_images/1048684030466695168/KBeR-fO-.jpg","View")</f>
        <v>View</v>
      </c>
    </row>
    <row r="507" spans="1:21" ht="40.799999999999997">
      <c r="A507" s="6">
        <v>43441.504803240736</v>
      </c>
      <c r="B507" s="7" t="str">
        <f>HYPERLINK("https://twitter.com/MariaTabarnia","@MariaTabarnia")</f>
        <v>@MariaTabarnia</v>
      </c>
      <c r="C507" s="8" t="s">
        <v>139</v>
      </c>
      <c r="D507" s="9" t="s">
        <v>1913</v>
      </c>
      <c r="E507" s="10" t="str">
        <f>HYPERLINK("https://twitter.com/MariaTabarnia/status/1070998082257645568","1070998082257645568")</f>
        <v>1070998082257645568</v>
      </c>
      <c r="F507" s="16" t="s">
        <v>1494</v>
      </c>
      <c r="G507" s="11"/>
      <c r="H507" s="11"/>
      <c r="I507" s="12">
        <v>24</v>
      </c>
      <c r="J507" s="12">
        <v>27</v>
      </c>
      <c r="K507" s="13" t="str">
        <f>HYPERLINK("http://twitter.com/#!/download/ipad","Twitter for iPad")</f>
        <v>Twitter for iPad</v>
      </c>
      <c r="L507" s="12">
        <v>12679</v>
      </c>
      <c r="M507" s="12">
        <v>13834</v>
      </c>
      <c r="N507" s="12">
        <v>55</v>
      </c>
      <c r="O507" s="14"/>
      <c r="P507" s="6">
        <v>41424.855567129627</v>
      </c>
      <c r="Q507" s="15" t="s">
        <v>142</v>
      </c>
      <c r="R507" s="17" t="s">
        <v>143</v>
      </c>
      <c r="S507" s="11"/>
      <c r="T507" s="11"/>
      <c r="U507" s="10" t="str">
        <f>HYPERLINK("https://pbs.twimg.com/profile_images/906661884199391232/L9xcUYsf.jpg","View")</f>
        <v>View</v>
      </c>
    </row>
    <row r="508" spans="1:21" ht="61.2">
      <c r="A508" s="6">
        <v>43441.502337962964</v>
      </c>
      <c r="B508" s="7" t="str">
        <f>HYPERLINK("https://twitter.com/ximoilicitano14","@ximoilicitano14")</f>
        <v>@ximoilicitano14</v>
      </c>
      <c r="C508" s="8" t="s">
        <v>1914</v>
      </c>
      <c r="D508" s="9" t="s">
        <v>1915</v>
      </c>
      <c r="E508" s="10" t="str">
        <f>HYPERLINK("https://twitter.com/ximoilicitano14/status/1070997190011699200","1070997190011699200")</f>
        <v>1070997190011699200</v>
      </c>
      <c r="F508" s="11"/>
      <c r="G508" s="16" t="s">
        <v>1916</v>
      </c>
      <c r="H508" s="11"/>
      <c r="I508" s="12">
        <v>3</v>
      </c>
      <c r="J508" s="12">
        <v>3</v>
      </c>
      <c r="K508" s="13" t="str">
        <f>HYPERLINK("http://twitter.com/download/android","Twitter for Android")</f>
        <v>Twitter for Android</v>
      </c>
      <c r="L508" s="12">
        <v>811</v>
      </c>
      <c r="M508" s="12">
        <v>1053</v>
      </c>
      <c r="N508" s="12">
        <v>8</v>
      </c>
      <c r="O508" s="14"/>
      <c r="P508" s="6">
        <v>41955.035405092596</v>
      </c>
      <c r="Q508" s="11"/>
      <c r="R508" s="17" t="s">
        <v>1917</v>
      </c>
      <c r="S508" s="16" t="s">
        <v>1918</v>
      </c>
      <c r="T508" s="11"/>
      <c r="U508" s="10" t="str">
        <f>HYPERLINK("https://pbs.twimg.com/profile_images/1025622799283630080/BeM9PIam.jpg","View")</f>
        <v>View</v>
      </c>
    </row>
    <row r="509" spans="1:21" ht="40.799999999999997">
      <c r="A509" s="6">
        <v>43441.500115740739</v>
      </c>
      <c r="B509" s="7" t="str">
        <f>HYPERLINK("https://twitter.com/jonjuanma","@jonjuanma")</f>
        <v>@jonjuanma</v>
      </c>
      <c r="C509" s="8" t="s">
        <v>1919</v>
      </c>
      <c r="D509" s="9" t="s">
        <v>1920</v>
      </c>
      <c r="E509" s="10" t="str">
        <f>HYPERLINK("https://twitter.com/jonjuanma/status/1070996384894083072","1070996384894083072")</f>
        <v>1070996384894083072</v>
      </c>
      <c r="F509" s="16" t="s">
        <v>132</v>
      </c>
      <c r="G509" s="11"/>
      <c r="H509" s="11"/>
      <c r="I509" s="12">
        <v>2</v>
      </c>
      <c r="J509" s="12">
        <v>1</v>
      </c>
      <c r="K509" s="13" t="str">
        <f>HYPERLINK("http://twitter.com","Twitter Web Client")</f>
        <v>Twitter Web Client</v>
      </c>
      <c r="L509" s="12">
        <v>1178</v>
      </c>
      <c r="M509" s="12">
        <v>695</v>
      </c>
      <c r="N509" s="12">
        <v>32</v>
      </c>
      <c r="O509" s="14"/>
      <c r="P509" s="6">
        <v>41034.111157407409</v>
      </c>
      <c r="Q509" s="11"/>
      <c r="R509" s="17" t="s">
        <v>1921</v>
      </c>
      <c r="S509" s="16" t="s">
        <v>1922</v>
      </c>
      <c r="T509" s="11"/>
      <c r="U509" s="10" t="str">
        <f>HYPERLINK("https://pbs.twimg.com/profile_images/1016808356265283586/djc5EWNE.jpg","View")</f>
        <v>View</v>
      </c>
    </row>
    <row r="510" spans="1:21" ht="51">
      <c r="A510" s="6">
        <v>43441.497071759259</v>
      </c>
      <c r="B510" s="7" t="str">
        <f>HYPERLINK("https://twitter.com/Elpa_jarraco","@Elpa_jarraco")</f>
        <v>@Elpa_jarraco</v>
      </c>
      <c r="C510" s="8" t="s">
        <v>1923</v>
      </c>
      <c r="D510" s="9" t="s">
        <v>1924</v>
      </c>
      <c r="E510" s="10" t="str">
        <f>HYPERLINK("https://twitter.com/Elpa_jarraco/status/1070995278927446016","1070995278927446016")</f>
        <v>1070995278927446016</v>
      </c>
      <c r="F510" s="11"/>
      <c r="G510" s="11"/>
      <c r="H510" s="11"/>
      <c r="I510" s="12">
        <v>0</v>
      </c>
      <c r="J510" s="12">
        <v>0</v>
      </c>
      <c r="K510" s="13" t="str">
        <f>HYPERLINK("http://twitter.com/download/android","Twitter for Android")</f>
        <v>Twitter for Android</v>
      </c>
      <c r="L510" s="12">
        <v>59</v>
      </c>
      <c r="M510" s="12">
        <v>191</v>
      </c>
      <c r="N510" s="12">
        <v>0</v>
      </c>
      <c r="O510" s="14"/>
      <c r="P510" s="6">
        <v>42014.029918981483</v>
      </c>
      <c r="Q510" s="11"/>
      <c r="R510" s="17" t="s">
        <v>1925</v>
      </c>
      <c r="S510" s="11"/>
      <c r="T510" s="11"/>
      <c r="U510" s="10" t="str">
        <f>HYPERLINK("https://pbs.twimg.com/profile_images/904345518037446656/0ctskaix.jpg","View")</f>
        <v>View</v>
      </c>
    </row>
    <row r="511" spans="1:21" ht="51">
      <c r="A511" s="6">
        <v>43441.495104166665</v>
      </c>
      <c r="B511" s="7" t="str">
        <f>HYPERLINK("https://twitter.com/Miotroyo2parte","@Miotroyo2parte")</f>
        <v>@Miotroyo2parte</v>
      </c>
      <c r="C511" s="8" t="s">
        <v>1926</v>
      </c>
      <c r="D511" s="9" t="s">
        <v>1794</v>
      </c>
      <c r="E511" s="10" t="str">
        <f>HYPERLINK("https://twitter.com/Miotroyo2parte/status/1070994564868128769","1070994564868128769")</f>
        <v>1070994564868128769</v>
      </c>
      <c r="F511" s="11"/>
      <c r="G511" s="16" t="s">
        <v>1235</v>
      </c>
      <c r="H511" s="11"/>
      <c r="I511" s="12">
        <v>5536</v>
      </c>
      <c r="J511" s="12">
        <v>6461</v>
      </c>
      <c r="K511" s="13" t="str">
        <f>HYPERLINK("http://twitter.com/download/iphone","Twitter for iPhone")</f>
        <v>Twitter for iPhone</v>
      </c>
      <c r="L511" s="12">
        <v>105646</v>
      </c>
      <c r="M511" s="12">
        <v>22716</v>
      </c>
      <c r="N511" s="12">
        <v>374</v>
      </c>
      <c r="O511" s="14"/>
      <c r="P511" s="6">
        <v>42077.077013888891</v>
      </c>
      <c r="Q511" s="11"/>
      <c r="R511" s="17" t="s">
        <v>1927</v>
      </c>
      <c r="S511" s="11"/>
      <c r="T511" s="11"/>
      <c r="U511" s="10" t="str">
        <f>HYPERLINK("https://pbs.twimg.com/profile_images/714430309098459140/sR5PzPw0.jpg","View")</f>
        <v>View</v>
      </c>
    </row>
    <row r="512" spans="1:21" ht="40.799999999999997">
      <c r="A512" s="6">
        <v>43441.49454861111</v>
      </c>
      <c r="B512" s="7" t="str">
        <f>HYPERLINK("https://twitter.com/Abogado_SM","@Abogado_SM")</f>
        <v>@Abogado_SM</v>
      </c>
      <c r="C512" s="8" t="s">
        <v>1928</v>
      </c>
      <c r="D512" s="9" t="s">
        <v>1929</v>
      </c>
      <c r="E512" s="10" t="str">
        <f>HYPERLINK("https://twitter.com/Abogado_SM/status/1070994365068267521","1070994365068267521")</f>
        <v>1070994365068267521</v>
      </c>
      <c r="F512" s="11"/>
      <c r="G512" s="16" t="s">
        <v>1930</v>
      </c>
      <c r="H512" s="11"/>
      <c r="I512" s="12">
        <v>0</v>
      </c>
      <c r="J512" s="12">
        <v>1</v>
      </c>
      <c r="K512" s="13" t="str">
        <f>HYPERLINK("http://twitter.com/download/android","Twitter for Android")</f>
        <v>Twitter for Android</v>
      </c>
      <c r="L512" s="12">
        <v>1443</v>
      </c>
      <c r="M512" s="12">
        <v>2000</v>
      </c>
      <c r="N512" s="12">
        <v>13</v>
      </c>
      <c r="O512" s="14"/>
      <c r="P512" s="6">
        <v>41929.600393518514</v>
      </c>
      <c r="Q512" s="15" t="s">
        <v>1931</v>
      </c>
      <c r="R512" s="17" t="s">
        <v>1932</v>
      </c>
      <c r="S512" s="11"/>
      <c r="T512" s="11"/>
      <c r="U512" s="10" t="str">
        <f>HYPERLINK("https://pbs.twimg.com/profile_images/580631467421728768/zIfTnAt4.jpg","View")</f>
        <v>View</v>
      </c>
    </row>
    <row r="513" spans="1:21" ht="40.799999999999997">
      <c r="A513" s="6">
        <v>43441.494502314818</v>
      </c>
      <c r="B513" s="7" t="str">
        <f>HYPERLINK("https://twitter.com/idelrioh","@idelrioh")</f>
        <v>@idelrioh</v>
      </c>
      <c r="C513" s="8" t="s">
        <v>1933</v>
      </c>
      <c r="D513" s="9" t="s">
        <v>1934</v>
      </c>
      <c r="E513" s="10" t="str">
        <f>HYPERLINK("https://twitter.com/idelrioh/status/1070994349041831936","1070994349041831936")</f>
        <v>1070994349041831936</v>
      </c>
      <c r="F513" s="16" t="s">
        <v>1935</v>
      </c>
      <c r="G513" s="16" t="s">
        <v>1936</v>
      </c>
      <c r="H513" s="11"/>
      <c r="I513" s="12">
        <v>0</v>
      </c>
      <c r="J513" s="12">
        <v>1</v>
      </c>
      <c r="K513" s="13" t="str">
        <f>HYPERLINK("http://twitter.com/download/iphone","Twitter for iPhone")</f>
        <v>Twitter for iPhone</v>
      </c>
      <c r="L513" s="12">
        <v>359</v>
      </c>
      <c r="M513" s="12">
        <v>280</v>
      </c>
      <c r="N513" s="12">
        <v>1</v>
      </c>
      <c r="O513" s="14"/>
      <c r="P513" s="6">
        <v>40606.632430555554</v>
      </c>
      <c r="Q513" s="15" t="s">
        <v>612</v>
      </c>
      <c r="R513" s="17" t="s">
        <v>1937</v>
      </c>
      <c r="S513" s="11"/>
      <c r="T513" s="11"/>
      <c r="U513" s="10" t="str">
        <f>HYPERLINK("https://pbs.twimg.com/profile_images/965042519124971521/BOoITZEi.jpg","View")</f>
        <v>View</v>
      </c>
    </row>
    <row r="514" spans="1:21" ht="51">
      <c r="A514" s="6">
        <v>43441.494212962964</v>
      </c>
      <c r="B514" s="7" t="str">
        <f>HYPERLINK("https://twitter.com/CeciliaST1","@CeciliaST1")</f>
        <v>@CeciliaST1</v>
      </c>
      <c r="C514" s="8" t="s">
        <v>1938</v>
      </c>
      <c r="D514" s="9" t="s">
        <v>1939</v>
      </c>
      <c r="E514" s="10" t="str">
        <f>HYPERLINK("https://twitter.com/CeciliaST1/status/1070994245182468097","1070994245182468097")</f>
        <v>1070994245182468097</v>
      </c>
      <c r="F514" s="11"/>
      <c r="G514" s="11"/>
      <c r="H514" s="11"/>
      <c r="I514" s="12">
        <v>0</v>
      </c>
      <c r="J514" s="12">
        <v>0</v>
      </c>
      <c r="K514" s="13" t="str">
        <f>HYPERLINK("http://twitter.com","Twitter Web Client")</f>
        <v>Twitter Web Client</v>
      </c>
      <c r="L514" s="12">
        <v>388</v>
      </c>
      <c r="M514" s="12">
        <v>538</v>
      </c>
      <c r="N514" s="12">
        <v>0</v>
      </c>
      <c r="O514" s="14"/>
      <c r="P514" s="6">
        <v>43330.487210648149</v>
      </c>
      <c r="Q514" s="15" t="s">
        <v>197</v>
      </c>
      <c r="R514" s="17" t="s">
        <v>1940</v>
      </c>
      <c r="S514" s="11"/>
      <c r="T514" s="11"/>
      <c r="U514" s="10" t="str">
        <f>HYPERLINK("https://pbs.twimg.com/profile_images/1031499460185088001/eRyB4MPK.jpg","View")</f>
        <v>View</v>
      </c>
    </row>
    <row r="515" spans="1:21" ht="20.399999999999999">
      <c r="A515" s="6">
        <v>43441.493055555555</v>
      </c>
      <c r="B515" s="7" t="str">
        <f>HYPERLINK("https://twitter.com/pcortezgaona","@pcortezgaona")</f>
        <v>@pcortezgaona</v>
      </c>
      <c r="C515" s="8" t="s">
        <v>1941</v>
      </c>
      <c r="D515" s="9" t="s">
        <v>1942</v>
      </c>
      <c r="E515" s="10" t="str">
        <f>HYPERLINK("https://twitter.com/pcortezgaona/status/1070993823092916225","1070993823092916225")</f>
        <v>1070993823092916225</v>
      </c>
      <c r="F515" s="16" t="s">
        <v>1943</v>
      </c>
      <c r="G515" s="11"/>
      <c r="H515" s="11"/>
      <c r="I515" s="12">
        <v>0</v>
      </c>
      <c r="J515" s="12">
        <v>0</v>
      </c>
      <c r="K515" s="13" t="str">
        <f>HYPERLINK("http://twitter.com/download/android","Twitter for Android")</f>
        <v>Twitter for Android</v>
      </c>
      <c r="L515" s="12">
        <v>203</v>
      </c>
      <c r="M515" s="12">
        <v>518</v>
      </c>
      <c r="N515" s="12">
        <v>2</v>
      </c>
      <c r="O515" s="14"/>
      <c r="P515" s="6">
        <v>40570.745289351849</v>
      </c>
      <c r="Q515" s="11"/>
      <c r="R515" s="18"/>
      <c r="S515" s="11"/>
      <c r="T515" s="11"/>
      <c r="U515" s="10" t="str">
        <f>HYPERLINK("https://pbs.twimg.com/profile_images/805886293880217600/v919-crX.jpg","View")</f>
        <v>View</v>
      </c>
    </row>
    <row r="516" spans="1:21" ht="51">
      <c r="A516" s="6">
        <v>43441.491122685184</v>
      </c>
      <c r="B516" s="7" t="str">
        <f>HYPERLINK("https://twitter.com/garciamarin1978","@garciamarin1978")</f>
        <v>@garciamarin1978</v>
      </c>
      <c r="C516" s="8" t="s">
        <v>1864</v>
      </c>
      <c r="D516" s="9" t="s">
        <v>1944</v>
      </c>
      <c r="E516" s="10" t="str">
        <f>HYPERLINK("https://twitter.com/garciamarin1978/status/1070993124581875713","1070993124581875713")</f>
        <v>1070993124581875713</v>
      </c>
      <c r="F516" s="16" t="s">
        <v>1945</v>
      </c>
      <c r="G516" s="11"/>
      <c r="H516" s="11"/>
      <c r="I516" s="12">
        <v>0</v>
      </c>
      <c r="J516" s="12">
        <v>0</v>
      </c>
      <c r="K516" s="13" t="str">
        <f>HYPERLINK("http://twitter.com","Twitter Web Client")</f>
        <v>Twitter Web Client</v>
      </c>
      <c r="L516" s="12">
        <v>73</v>
      </c>
      <c r="M516" s="12">
        <v>196</v>
      </c>
      <c r="N516" s="12">
        <v>0</v>
      </c>
      <c r="O516" s="14"/>
      <c r="P516" s="6">
        <v>41107.414606481485</v>
      </c>
      <c r="Q516" s="15" t="s">
        <v>90</v>
      </c>
      <c r="R516" s="17" t="s">
        <v>1867</v>
      </c>
      <c r="S516" s="11"/>
      <c r="T516" s="11"/>
      <c r="U516" s="10" t="str">
        <f>HYPERLINK("https://pbs.twimg.com/profile_images/1018447455145295872/q_usnLMH.jpg","View")</f>
        <v>View</v>
      </c>
    </row>
    <row r="517" spans="1:21" ht="30.6">
      <c r="A517" s="6">
        <v>43441.490636574075</v>
      </c>
      <c r="B517" s="7" t="str">
        <f>HYPERLINK("https://twitter.com/PrinceWarrior15","@PrinceWarrior15")</f>
        <v>@PrinceWarrior15</v>
      </c>
      <c r="C517" s="8" t="s">
        <v>1946</v>
      </c>
      <c r="D517" s="9" t="s">
        <v>1947</v>
      </c>
      <c r="E517" s="10" t="str">
        <f>HYPERLINK("https://twitter.com/PrinceWarrior15/status/1070992947401900032","1070992947401900032")</f>
        <v>1070992947401900032</v>
      </c>
      <c r="F517" s="16" t="s">
        <v>1948</v>
      </c>
      <c r="G517" s="11"/>
      <c r="H517" s="11"/>
      <c r="I517" s="12">
        <v>0</v>
      </c>
      <c r="J517" s="12">
        <v>1</v>
      </c>
      <c r="K517" s="13" t="str">
        <f t="shared" ref="K517:K518" si="132">HYPERLINK("http://twitter.com/download/android","Twitter for Android")</f>
        <v>Twitter for Android</v>
      </c>
      <c r="L517" s="12">
        <v>813</v>
      </c>
      <c r="M517" s="12">
        <v>658</v>
      </c>
      <c r="N517" s="12">
        <v>2</v>
      </c>
      <c r="O517" s="14"/>
      <c r="P517" s="6">
        <v>42958.512465277774</v>
      </c>
      <c r="Q517" s="15" t="s">
        <v>197</v>
      </c>
      <c r="R517" s="18"/>
      <c r="S517" s="11"/>
      <c r="T517" s="11"/>
      <c r="U517" s="10" t="str">
        <f>HYPERLINK("https://pbs.twimg.com/profile_images/1010147682751537152/7QGnGDm7.jpg","View")</f>
        <v>View</v>
      </c>
    </row>
    <row r="518" spans="1:21" ht="40.799999999999997">
      <c r="A518" s="6">
        <v>43441.488715277781</v>
      </c>
      <c r="B518" s="7" t="str">
        <f>HYPERLINK("https://twitter.com/merce_ol","@merce_ol")</f>
        <v>@merce_ol</v>
      </c>
      <c r="C518" s="8" t="s">
        <v>1949</v>
      </c>
      <c r="D518" s="9" t="s">
        <v>1950</v>
      </c>
      <c r="E518" s="10" t="str">
        <f>HYPERLINK("https://twitter.com/merce_ol/status/1070992252896509953","1070992252896509953")</f>
        <v>1070992252896509953</v>
      </c>
      <c r="F518" s="16" t="s">
        <v>1951</v>
      </c>
      <c r="G518" s="11"/>
      <c r="H518" s="11"/>
      <c r="I518" s="12">
        <v>0</v>
      </c>
      <c r="J518" s="12">
        <v>4</v>
      </c>
      <c r="K518" s="13" t="str">
        <f t="shared" si="132"/>
        <v>Twitter for Android</v>
      </c>
      <c r="L518" s="12">
        <v>458</v>
      </c>
      <c r="M518" s="12">
        <v>610</v>
      </c>
      <c r="N518" s="12">
        <v>0</v>
      </c>
      <c r="O518" s="14"/>
      <c r="P518" s="6">
        <v>40730.918854166666</v>
      </c>
      <c r="Q518" s="15" t="s">
        <v>1952</v>
      </c>
      <c r="R518" s="17" t="s">
        <v>1953</v>
      </c>
      <c r="S518" s="11"/>
      <c r="T518" s="11"/>
      <c r="U518" s="10" t="str">
        <f>HYPERLINK("https://pbs.twimg.com/profile_images/618626257480069120/48ThZ2FF.jpg","View")</f>
        <v>View</v>
      </c>
    </row>
    <row r="519" spans="1:21" ht="30.6">
      <c r="A519" s="6">
        <v>43441.484317129631</v>
      </c>
      <c r="B519" s="7" t="str">
        <f>HYPERLINK("https://twitter.com/xavgarriga","@xavgarriga")</f>
        <v>@xavgarriga</v>
      </c>
      <c r="C519" s="8" t="s">
        <v>1954</v>
      </c>
      <c r="D519" s="9" t="s">
        <v>1955</v>
      </c>
      <c r="E519" s="10" t="str">
        <f>HYPERLINK("https://twitter.com/xavgarriga/status/1070990656754106368","1070990656754106368")</f>
        <v>1070990656754106368</v>
      </c>
      <c r="F519" s="11"/>
      <c r="G519" s="16" t="s">
        <v>1956</v>
      </c>
      <c r="H519" s="11"/>
      <c r="I519" s="12">
        <v>0</v>
      </c>
      <c r="J519" s="12">
        <v>0</v>
      </c>
      <c r="K519" s="13" t="str">
        <f>HYPERLINK("http://twitter.com/download/iphone","Twitter for iPhone")</f>
        <v>Twitter for iPhone</v>
      </c>
      <c r="L519" s="12">
        <v>46</v>
      </c>
      <c r="M519" s="12">
        <v>133</v>
      </c>
      <c r="N519" s="12">
        <v>0</v>
      </c>
      <c r="O519" s="14"/>
      <c r="P519" s="6">
        <v>41679.861689814818</v>
      </c>
      <c r="Q519" s="15" t="s">
        <v>1957</v>
      </c>
      <c r="R519" s="17" t="s">
        <v>1958</v>
      </c>
      <c r="S519" s="11"/>
      <c r="T519" s="11"/>
      <c r="U519" s="10" t="str">
        <f>HYPERLINK("https://pbs.twimg.com/profile_images/1068940734198439938/vOpxZzPS.jpg","View")</f>
        <v>View</v>
      </c>
    </row>
    <row r="520" spans="1:21" ht="20.399999999999999">
      <c r="A520" s="6">
        <v>43441.481979166667</v>
      </c>
      <c r="B520" s="7" t="str">
        <f>HYPERLINK("https://twitter.com/Chustaman_pro","@Chustaman_pro")</f>
        <v>@Chustaman_pro</v>
      </c>
      <c r="C520" s="8" t="s">
        <v>1959</v>
      </c>
      <c r="D520" s="9" t="s">
        <v>1960</v>
      </c>
      <c r="E520" s="10" t="str">
        <f>HYPERLINK("https://twitter.com/Chustaman_pro/status/1070989811023077379","1070989811023077379")</f>
        <v>1070989811023077379</v>
      </c>
      <c r="F520" s="11"/>
      <c r="G520" s="11"/>
      <c r="H520" s="11"/>
      <c r="I520" s="12">
        <v>0</v>
      </c>
      <c r="J520" s="12">
        <v>1</v>
      </c>
      <c r="K520" s="13" t="str">
        <f>HYPERLINK("http://twitter.com/download/android","Twitter for Android")</f>
        <v>Twitter for Android</v>
      </c>
      <c r="L520" s="12">
        <v>46</v>
      </c>
      <c r="M520" s="12">
        <v>130</v>
      </c>
      <c r="N520" s="12">
        <v>2</v>
      </c>
      <c r="O520" s="14"/>
      <c r="P520" s="6">
        <v>42120.500347222223</v>
      </c>
      <c r="Q520" s="11"/>
      <c r="R520" s="17" t="s">
        <v>1961</v>
      </c>
      <c r="S520" s="11"/>
      <c r="T520" s="11"/>
      <c r="U520" s="10" t="str">
        <f>HYPERLINK("https://pbs.twimg.com/profile_images/705783869958660109/pUCbrMZ6.jpg","View")</f>
        <v>View</v>
      </c>
    </row>
    <row r="521" spans="1:21" ht="30.6">
      <c r="A521" s="6">
        <v>43441.481666666667</v>
      </c>
      <c r="B521" s="7" t="str">
        <f>HYPERLINK("https://twitter.com/Pecas_Aguirre","@Pecas_Aguirre")</f>
        <v>@Pecas_Aguirre</v>
      </c>
      <c r="C521" s="8" t="s">
        <v>1962</v>
      </c>
      <c r="D521" s="9" t="s">
        <v>1963</v>
      </c>
      <c r="E521" s="10" t="str">
        <f>HYPERLINK("https://twitter.com/Pecas_Aguirre/status/1070989696103268353","1070989696103268353")</f>
        <v>1070989696103268353</v>
      </c>
      <c r="F521" s="11"/>
      <c r="G521" s="11"/>
      <c r="H521" s="11"/>
      <c r="I521" s="12">
        <v>1</v>
      </c>
      <c r="J521" s="12">
        <v>0</v>
      </c>
      <c r="K521" s="13" t="str">
        <f>HYPERLINK("http://twitter.com","Twitter Web Client")</f>
        <v>Twitter Web Client</v>
      </c>
      <c r="L521" s="12">
        <v>2917</v>
      </c>
      <c r="M521" s="12">
        <v>1964</v>
      </c>
      <c r="N521" s="12">
        <v>33</v>
      </c>
      <c r="O521" s="14"/>
      <c r="P521" s="6">
        <v>42142.310694444444</v>
      </c>
      <c r="Q521" s="11"/>
      <c r="R521" s="17" t="s">
        <v>1964</v>
      </c>
      <c r="S521" s="11"/>
      <c r="T521" s="11"/>
      <c r="U521" s="10" t="str">
        <f>HYPERLINK("https://pbs.twimg.com/profile_images/1057556595532554240/RIHrbfr7.jpg","View")</f>
        <v>View</v>
      </c>
    </row>
    <row r="522" spans="1:21" ht="51">
      <c r="A522" s="6">
        <v>43441.480752314819</v>
      </c>
      <c r="B522" s="7" t="str">
        <f>HYPERLINK("https://twitter.com/_jorgegallardo","@_jorgegallardo")</f>
        <v>@_jorgegallardo</v>
      </c>
      <c r="C522" s="8" t="s">
        <v>1965</v>
      </c>
      <c r="D522" s="9" t="s">
        <v>1966</v>
      </c>
      <c r="E522" s="10" t="str">
        <f>HYPERLINK("https://twitter.com/_jorgegallardo/status/1070989367752187905","1070989367752187905")</f>
        <v>1070989367752187905</v>
      </c>
      <c r="F522" s="11"/>
      <c r="G522" s="16" t="s">
        <v>1967</v>
      </c>
      <c r="H522" s="11"/>
      <c r="I522" s="12">
        <v>10</v>
      </c>
      <c r="J522" s="12">
        <v>18</v>
      </c>
      <c r="K522" s="13" t="str">
        <f t="shared" ref="K522:K523" si="133">HYPERLINK("http://twitter.com/download/iphone","Twitter for iPhone")</f>
        <v>Twitter for iPhone</v>
      </c>
      <c r="L522" s="12">
        <v>4819</v>
      </c>
      <c r="M522" s="12">
        <v>1673</v>
      </c>
      <c r="N522" s="12">
        <v>125</v>
      </c>
      <c r="O522" s="23" t="s">
        <v>89</v>
      </c>
      <c r="P522" s="6">
        <v>40265.016458333332</v>
      </c>
      <c r="Q522" s="15" t="s">
        <v>612</v>
      </c>
      <c r="R522" s="17" t="s">
        <v>1968</v>
      </c>
      <c r="S522" s="16" t="s">
        <v>1969</v>
      </c>
      <c r="T522" s="11"/>
      <c r="U522" s="10" t="str">
        <f>HYPERLINK("https://pbs.twimg.com/profile_images/1015605617942294528/KxjBqBF9.jpg","View")</f>
        <v>View</v>
      </c>
    </row>
    <row r="523" spans="1:21" ht="51">
      <c r="A523" s="6">
        <v>43441.478784722218</v>
      </c>
      <c r="B523" s="7" t="str">
        <f>HYPERLINK("https://twitter.com/manufalcon5","@manufalcon5")</f>
        <v>@manufalcon5</v>
      </c>
      <c r="C523" s="8" t="s">
        <v>1970</v>
      </c>
      <c r="D523" s="9" t="s">
        <v>1971</v>
      </c>
      <c r="E523" s="10" t="str">
        <f>HYPERLINK("https://twitter.com/manufalcon5/status/1070988653025992704","1070988653025992704")</f>
        <v>1070988653025992704</v>
      </c>
      <c r="F523" s="11"/>
      <c r="G523" s="16" t="s">
        <v>1972</v>
      </c>
      <c r="H523" s="11"/>
      <c r="I523" s="12">
        <v>0</v>
      </c>
      <c r="J523" s="12">
        <v>0</v>
      </c>
      <c r="K523" s="13" t="str">
        <f t="shared" si="133"/>
        <v>Twitter for iPhone</v>
      </c>
      <c r="L523" s="12">
        <v>300</v>
      </c>
      <c r="M523" s="12">
        <v>402</v>
      </c>
      <c r="N523" s="12">
        <v>0</v>
      </c>
      <c r="O523" s="14"/>
      <c r="P523" s="6">
        <v>41689.692615740743</v>
      </c>
      <c r="Q523" s="15" t="s">
        <v>1973</v>
      </c>
      <c r="R523" s="17" t="s">
        <v>1974</v>
      </c>
      <c r="S523" s="16" t="s">
        <v>1975</v>
      </c>
      <c r="T523" s="11"/>
      <c r="U523" s="10" t="str">
        <f>HYPERLINK("https://pbs.twimg.com/profile_images/883732678733955076/fF_g1UQT.jpg","View")</f>
        <v>View</v>
      </c>
    </row>
    <row r="524" spans="1:21" ht="51">
      <c r="A524" s="6">
        <v>43441.4769212963</v>
      </c>
      <c r="B524" s="7" t="str">
        <f>HYPERLINK("https://twitter.com/JuanIgnaMedina","@JuanIgnaMedina")</f>
        <v>@JuanIgnaMedina</v>
      </c>
      <c r="C524" s="8" t="s">
        <v>1976</v>
      </c>
      <c r="D524" s="9" t="s">
        <v>1977</v>
      </c>
      <c r="E524" s="10" t="str">
        <f>HYPERLINK("https://twitter.com/JuanIgnaMedina/status/1070987977617276929","1070987977617276929")</f>
        <v>1070987977617276929</v>
      </c>
      <c r="F524" s="16" t="s">
        <v>1978</v>
      </c>
      <c r="G524" s="11"/>
      <c r="H524" s="11"/>
      <c r="I524" s="12">
        <v>2</v>
      </c>
      <c r="J524" s="12">
        <v>1</v>
      </c>
      <c r="K524" s="13" t="str">
        <f t="shared" ref="K524:K527" si="134">HYPERLINK("http://twitter.com/download/android","Twitter for Android")</f>
        <v>Twitter for Android</v>
      </c>
      <c r="L524" s="12">
        <v>1336</v>
      </c>
      <c r="M524" s="12">
        <v>939</v>
      </c>
      <c r="N524" s="12">
        <v>29</v>
      </c>
      <c r="O524" s="14"/>
      <c r="P524" s="6">
        <v>40634.799201388887</v>
      </c>
      <c r="Q524" s="15" t="s">
        <v>1979</v>
      </c>
      <c r="R524" s="17" t="s">
        <v>1980</v>
      </c>
      <c r="S524" s="16" t="s">
        <v>1981</v>
      </c>
      <c r="T524" s="11"/>
      <c r="U524" s="10" t="str">
        <f>HYPERLINK("https://pbs.twimg.com/profile_images/1004233951601463296/_BQGGO5h.jpg","View")</f>
        <v>View</v>
      </c>
    </row>
    <row r="525" spans="1:21" ht="61.2">
      <c r="A525" s="6">
        <v>43441.468888888892</v>
      </c>
      <c r="B525" s="7" t="str">
        <f>HYPERLINK("https://twitter.com/condemor_","@condemor_")</f>
        <v>@condemor_</v>
      </c>
      <c r="C525" s="8" t="s">
        <v>1982</v>
      </c>
      <c r="D525" s="9" t="s">
        <v>1983</v>
      </c>
      <c r="E525" s="10" t="str">
        <f>HYPERLINK("https://twitter.com/condemor_/status/1070985067802095616","1070985067802095616")</f>
        <v>1070985067802095616</v>
      </c>
      <c r="F525" s="11"/>
      <c r="G525" s="11"/>
      <c r="H525" s="11"/>
      <c r="I525" s="12">
        <v>0</v>
      </c>
      <c r="J525" s="12">
        <v>0</v>
      </c>
      <c r="K525" s="13" t="str">
        <f t="shared" si="134"/>
        <v>Twitter for Android</v>
      </c>
      <c r="L525" s="12">
        <v>76</v>
      </c>
      <c r="M525" s="12">
        <v>73</v>
      </c>
      <c r="N525" s="12">
        <v>0</v>
      </c>
      <c r="O525" s="14"/>
      <c r="P525" s="6">
        <v>43181.66909722222</v>
      </c>
      <c r="Q525" s="15" t="s">
        <v>1984</v>
      </c>
      <c r="R525" s="17" t="s">
        <v>1985</v>
      </c>
      <c r="S525" s="11"/>
      <c r="T525" s="11"/>
      <c r="U525" s="10" t="str">
        <f>HYPERLINK("https://pbs.twimg.com/profile_images/1065732335029510145/PC3-mZjJ.jpg","View")</f>
        <v>View</v>
      </c>
    </row>
    <row r="526" spans="1:21" ht="30.6">
      <c r="A526" s="6">
        <v>43441.463622685187</v>
      </c>
      <c r="B526" s="7" t="str">
        <f t="shared" ref="B526:B527" si="135">HYPERLINK("https://twitter.com/lunadebenidorm","@lunadebenidorm")</f>
        <v>@lunadebenidorm</v>
      </c>
      <c r="C526" s="8" t="s">
        <v>1215</v>
      </c>
      <c r="D526" s="9" t="s">
        <v>1986</v>
      </c>
      <c r="E526" s="10" t="str">
        <f>HYPERLINK("https://twitter.com/lunadebenidorm/status/1070983157460189184","1070983157460189184")</f>
        <v>1070983157460189184</v>
      </c>
      <c r="F526" s="11"/>
      <c r="G526" s="16" t="s">
        <v>1987</v>
      </c>
      <c r="H526" s="11"/>
      <c r="I526" s="12">
        <v>0</v>
      </c>
      <c r="J526" s="12">
        <v>0</v>
      </c>
      <c r="K526" s="13" t="str">
        <f t="shared" si="134"/>
        <v>Twitter for Android</v>
      </c>
      <c r="L526" s="12">
        <v>3951</v>
      </c>
      <c r="M526" s="12">
        <v>4067</v>
      </c>
      <c r="N526" s="12">
        <v>79</v>
      </c>
      <c r="O526" s="14"/>
      <c r="P526" s="6">
        <v>41461.81186342593</v>
      </c>
      <c r="Q526" s="11"/>
      <c r="R526" s="17" t="s">
        <v>1217</v>
      </c>
      <c r="S526" s="11"/>
      <c r="T526" s="11"/>
      <c r="U526" s="10" t="str">
        <f t="shared" ref="U526:U527" si="136">HYPERLINK("https://pbs.twimg.com/profile_images/1066142568734515203/pN2PG8WE.jpg","View")</f>
        <v>View</v>
      </c>
    </row>
    <row r="527" spans="1:21" ht="61.2">
      <c r="A527" s="6">
        <v>43441.462106481486</v>
      </c>
      <c r="B527" s="7" t="str">
        <f t="shared" si="135"/>
        <v>@lunadebenidorm</v>
      </c>
      <c r="C527" s="8" t="s">
        <v>1215</v>
      </c>
      <c r="D527" s="9" t="s">
        <v>1988</v>
      </c>
      <c r="E527" s="10" t="str">
        <f>HYPERLINK("https://twitter.com/lunadebenidorm/status/1070982608186687489","1070982608186687489")</f>
        <v>1070982608186687489</v>
      </c>
      <c r="F527" s="11"/>
      <c r="G527" s="11"/>
      <c r="H527" s="11"/>
      <c r="I527" s="12">
        <v>0</v>
      </c>
      <c r="J527" s="12">
        <v>0</v>
      </c>
      <c r="K527" s="13" t="str">
        <f t="shared" si="134"/>
        <v>Twitter for Android</v>
      </c>
      <c r="L527" s="12">
        <v>3951</v>
      </c>
      <c r="M527" s="12">
        <v>4067</v>
      </c>
      <c r="N527" s="12">
        <v>79</v>
      </c>
      <c r="O527" s="14"/>
      <c r="P527" s="6">
        <v>41461.81186342593</v>
      </c>
      <c r="Q527" s="11"/>
      <c r="R527" s="17" t="s">
        <v>1217</v>
      </c>
      <c r="S527" s="11"/>
      <c r="T527" s="11"/>
      <c r="U527" s="10" t="str">
        <f t="shared" si="136"/>
        <v>View</v>
      </c>
    </row>
    <row r="528" spans="1:21" ht="81.599999999999994">
      <c r="A528" s="6">
        <v>43441.460844907408</v>
      </c>
      <c r="B528" s="7" t="str">
        <f>HYPERLINK("https://twitter.com/JuanRamonCalero","@JuanRamonCalero")</f>
        <v>@JuanRamonCalero</v>
      </c>
      <c r="C528" s="8" t="s">
        <v>1989</v>
      </c>
      <c r="D528" s="9" t="s">
        <v>1990</v>
      </c>
      <c r="E528" s="10" t="str">
        <f>HYPERLINK("https://twitter.com/JuanRamonCalero/status/1070982153285058561","1070982153285058561")</f>
        <v>1070982153285058561</v>
      </c>
      <c r="F528" s="15" t="s">
        <v>1991</v>
      </c>
      <c r="G528" s="11"/>
      <c r="H528" s="11"/>
      <c r="I528" s="12">
        <v>1</v>
      </c>
      <c r="J528" s="12">
        <v>2</v>
      </c>
      <c r="K528" s="13" t="str">
        <f>HYPERLINK("http://twitter.com/download/iphone","Twitter for iPhone")</f>
        <v>Twitter for iPhone</v>
      </c>
      <c r="L528" s="12">
        <v>385</v>
      </c>
      <c r="M528" s="12">
        <v>701</v>
      </c>
      <c r="N528" s="12">
        <v>3</v>
      </c>
      <c r="O528" s="14"/>
      <c r="P528" s="6">
        <v>42765.333912037036</v>
      </c>
      <c r="Q528" s="15" t="s">
        <v>1992</v>
      </c>
      <c r="R528" s="17" t="s">
        <v>1993</v>
      </c>
      <c r="S528" s="16" t="s">
        <v>1994</v>
      </c>
      <c r="T528" s="11"/>
      <c r="U528" s="10" t="str">
        <f>HYPERLINK("https://pbs.twimg.com/profile_images/900613319769419776/9wYEt3vh.jpg","View")</f>
        <v>View</v>
      </c>
    </row>
    <row r="529" spans="1:21" ht="30.6">
      <c r="A529" s="6">
        <v>43441.459872685184</v>
      </c>
      <c r="B529" s="7" t="str">
        <f>HYPERLINK("https://twitter.com/Re_pu_bli_ca","@Re_pu_bli_ca")</f>
        <v>@Re_pu_bli_ca</v>
      </c>
      <c r="C529" s="8" t="s">
        <v>1995</v>
      </c>
      <c r="D529" s="9" t="s">
        <v>1996</v>
      </c>
      <c r="E529" s="10" t="str">
        <f>HYPERLINK("https://twitter.com/Re_pu_bli_ca/status/1070981800204427265","1070981800204427265")</f>
        <v>1070981800204427265</v>
      </c>
      <c r="F529" s="16" t="s">
        <v>126</v>
      </c>
      <c r="G529" s="16" t="s">
        <v>127</v>
      </c>
      <c r="H529" s="11"/>
      <c r="I529" s="12">
        <v>0</v>
      </c>
      <c r="J529" s="12">
        <v>0</v>
      </c>
      <c r="K529" s="13" t="str">
        <f>HYPERLINK("http://twitter.com/download/android","Twitter for Android")</f>
        <v>Twitter for Android</v>
      </c>
      <c r="L529" s="12">
        <v>1250</v>
      </c>
      <c r="M529" s="12">
        <v>1942</v>
      </c>
      <c r="N529" s="12">
        <v>3</v>
      </c>
      <c r="O529" s="14"/>
      <c r="P529" s="6">
        <v>43027.689675925925</v>
      </c>
      <c r="Q529" s="11"/>
      <c r="R529" s="18"/>
      <c r="S529" s="11"/>
      <c r="T529" s="11"/>
      <c r="U529" s="10" t="str">
        <f>HYPERLINK("https://pbs.twimg.com/profile_images/1037038756669386752/XZA_xjAQ.jpg","View")</f>
        <v>View</v>
      </c>
    </row>
    <row r="530" spans="1:21" ht="40.799999999999997">
      <c r="A530" s="6">
        <v>43441.458923611106</v>
      </c>
      <c r="B530" s="7" t="str">
        <f>HYPERLINK("https://twitter.com/calixtaberry","@calixtaberry")</f>
        <v>@calixtaberry</v>
      </c>
      <c r="C530" s="8" t="s">
        <v>1997</v>
      </c>
      <c r="D530" s="9" t="s">
        <v>1998</v>
      </c>
      <c r="E530" s="10" t="str">
        <f>HYPERLINK("https://twitter.com/calixtaberry/status/1070981457290686464","1070981457290686464")</f>
        <v>1070981457290686464</v>
      </c>
      <c r="F530" s="11"/>
      <c r="G530" s="16" t="s">
        <v>1999</v>
      </c>
      <c r="H530" s="11"/>
      <c r="I530" s="12">
        <v>0</v>
      </c>
      <c r="J530" s="12">
        <v>0</v>
      </c>
      <c r="K530" s="13" t="str">
        <f>HYPERLINK("https://mobile.twitter.com","Twitter Lite")</f>
        <v>Twitter Lite</v>
      </c>
      <c r="L530" s="12">
        <v>1042</v>
      </c>
      <c r="M530" s="12">
        <v>1053</v>
      </c>
      <c r="N530" s="12">
        <v>4</v>
      </c>
      <c r="O530" s="14"/>
      <c r="P530" s="6">
        <v>40572.842719907407</v>
      </c>
      <c r="Q530" s="15" t="s">
        <v>197</v>
      </c>
      <c r="R530" s="17" t="s">
        <v>2000</v>
      </c>
      <c r="S530" s="11"/>
      <c r="T530" s="11"/>
      <c r="U530" s="10" t="str">
        <f>HYPERLINK("https://pbs.twimg.com/profile_images/1008319124991340544/UCtApCkP.jpg","View")</f>
        <v>View</v>
      </c>
    </row>
    <row r="531" spans="1:21" ht="20.399999999999999">
      <c r="A531" s="6">
        <v>43441.457488425927</v>
      </c>
      <c r="B531" s="7" t="str">
        <f>HYPERLINK("https://twitter.com/nitas_pc","@nitas_pc")</f>
        <v>@nitas_pc</v>
      </c>
      <c r="C531" s="8" t="s">
        <v>2001</v>
      </c>
      <c r="D531" s="9" t="s">
        <v>2002</v>
      </c>
      <c r="E531" s="10" t="str">
        <f>HYPERLINK("https://twitter.com/nitas_pc/status/1070980935783538688","1070980935783538688")</f>
        <v>1070980935783538688</v>
      </c>
      <c r="F531" s="16" t="s">
        <v>1043</v>
      </c>
      <c r="G531" s="11"/>
      <c r="H531" s="11"/>
      <c r="I531" s="12">
        <v>0</v>
      </c>
      <c r="J531" s="12">
        <v>0</v>
      </c>
      <c r="K531" s="13" t="str">
        <f>HYPERLINK("https://www.google.com/","Google")</f>
        <v>Google</v>
      </c>
      <c r="L531" s="12">
        <v>10</v>
      </c>
      <c r="M531" s="12">
        <v>90</v>
      </c>
      <c r="N531" s="12">
        <v>0</v>
      </c>
      <c r="O531" s="14"/>
      <c r="P531" s="6">
        <v>42005.814560185187</v>
      </c>
      <c r="Q531" s="11"/>
      <c r="R531" s="17" t="s">
        <v>2003</v>
      </c>
      <c r="S531" s="11"/>
      <c r="T531" s="11"/>
      <c r="U531" s="10" t="str">
        <f>HYPERLINK("https://pbs.twimg.com/profile_images/550725833426755585/vi6sCjnG.jpeg","View")</f>
        <v>View</v>
      </c>
    </row>
    <row r="532" spans="1:21" ht="30.6">
      <c r="A532" s="6">
        <v>43441.457314814819</v>
      </c>
      <c r="B532" s="7" t="str">
        <f>HYPERLINK("https://twitter.com/antontxo","@antontxo")</f>
        <v>@antontxo</v>
      </c>
      <c r="C532" s="8" t="s">
        <v>2004</v>
      </c>
      <c r="D532" s="9" t="s">
        <v>2005</v>
      </c>
      <c r="E532" s="10" t="str">
        <f>HYPERLINK("https://twitter.com/antontxo/status/1070980870457184256","1070980870457184256")</f>
        <v>1070980870457184256</v>
      </c>
      <c r="F532" s="16" t="s">
        <v>2006</v>
      </c>
      <c r="G532" s="11"/>
      <c r="H532" s="11"/>
      <c r="I532" s="12">
        <v>0</v>
      </c>
      <c r="J532" s="12">
        <v>0</v>
      </c>
      <c r="K532" s="13" t="str">
        <f t="shared" ref="K532:K533" si="137">HYPERLINK("http://twitter.com/download/android","Twitter for Android")</f>
        <v>Twitter for Android</v>
      </c>
      <c r="L532" s="12">
        <v>1423</v>
      </c>
      <c r="M532" s="12">
        <v>1969</v>
      </c>
      <c r="N532" s="12">
        <v>52</v>
      </c>
      <c r="O532" s="14"/>
      <c r="P532" s="6">
        <v>39938.792708333334</v>
      </c>
      <c r="Q532" s="15" t="s">
        <v>2007</v>
      </c>
      <c r="R532" s="17" t="s">
        <v>2008</v>
      </c>
      <c r="S532" s="11"/>
      <c r="T532" s="11"/>
      <c r="U532" s="10" t="str">
        <f>HYPERLINK("https://pbs.twimg.com/profile_images/906009695546105858/AXkNKskw.jpg","View")</f>
        <v>View</v>
      </c>
    </row>
    <row r="533" spans="1:21" ht="30.6">
      <c r="A533" s="6">
        <v>43441.45721064815</v>
      </c>
      <c r="B533" s="7" t="str">
        <f>HYPERLINK("https://twitter.com/Fran30fernandez","@Fran30fernandez")</f>
        <v>@Fran30fernandez</v>
      </c>
      <c r="C533" s="8" t="s">
        <v>2009</v>
      </c>
      <c r="D533" s="9" t="s">
        <v>2010</v>
      </c>
      <c r="E533" s="10" t="str">
        <f>HYPERLINK("https://twitter.com/Fran30fernandez/status/1070980832595202048","1070980832595202048")</f>
        <v>1070980832595202048</v>
      </c>
      <c r="F533" s="11"/>
      <c r="G533" s="16" t="s">
        <v>2011</v>
      </c>
      <c r="H533" s="11"/>
      <c r="I533" s="12">
        <v>1</v>
      </c>
      <c r="J533" s="12">
        <v>1</v>
      </c>
      <c r="K533" s="13" t="str">
        <f t="shared" si="137"/>
        <v>Twitter for Android</v>
      </c>
      <c r="L533" s="12">
        <v>6095</v>
      </c>
      <c r="M533" s="12">
        <v>4173</v>
      </c>
      <c r="N533" s="12">
        <v>38</v>
      </c>
      <c r="O533" s="14"/>
      <c r="P533" s="6">
        <v>41727.811331018514</v>
      </c>
      <c r="Q533" s="15" t="s">
        <v>197</v>
      </c>
      <c r="R533" s="17" t="s">
        <v>2012</v>
      </c>
      <c r="S533" s="11"/>
      <c r="T533" s="11"/>
      <c r="U533" s="10" t="str">
        <f>HYPERLINK("https://pbs.twimg.com/profile_images/858698101015670785/7yCnrEbF.jpg","View")</f>
        <v>View</v>
      </c>
    </row>
    <row r="534" spans="1:21" ht="40.799999999999997">
      <c r="A534" s="6">
        <v>43441.453229166669</v>
      </c>
      <c r="B534" s="7" t="str">
        <f>HYPERLINK("https://twitter.com/99Barroso","@99Barroso")</f>
        <v>@99Barroso</v>
      </c>
      <c r="C534" s="8" t="s">
        <v>2013</v>
      </c>
      <c r="D534" s="9" t="s">
        <v>2014</v>
      </c>
      <c r="E534" s="10" t="str">
        <f>HYPERLINK("https://twitter.com/99Barroso/status/1070979393579814912","1070979393579814912")</f>
        <v>1070979393579814912</v>
      </c>
      <c r="F534" s="15" t="s">
        <v>2015</v>
      </c>
      <c r="G534" s="11"/>
      <c r="H534" s="11"/>
      <c r="I534" s="12">
        <v>0</v>
      </c>
      <c r="J534" s="12">
        <v>0</v>
      </c>
      <c r="K534" s="13" t="str">
        <f>HYPERLINK("http://twitter.com/download/iphone","Twitter for iPhone")</f>
        <v>Twitter for iPhone</v>
      </c>
      <c r="L534" s="12">
        <v>813</v>
      </c>
      <c r="M534" s="12">
        <v>781</v>
      </c>
      <c r="N534" s="12">
        <v>10</v>
      </c>
      <c r="O534" s="14"/>
      <c r="P534" s="6">
        <v>40949.734594907408</v>
      </c>
      <c r="Q534" s="15" t="s">
        <v>56</v>
      </c>
      <c r="R534" s="17" t="s">
        <v>2016</v>
      </c>
      <c r="S534" s="11"/>
      <c r="T534" s="11"/>
      <c r="U534" s="10" t="str">
        <f>HYPERLINK("https://pbs.twimg.com/profile_images/1021390159693086720/5HrBkZjk.jpg","View")</f>
        <v>View</v>
      </c>
    </row>
    <row r="535" spans="1:21" ht="30.6">
      <c r="A535" s="6">
        <v>43441.45239583333</v>
      </c>
      <c r="B535" s="7" t="str">
        <f>HYPERLINK("https://twitter.com/Valen","@Valen")</f>
        <v>@Valen</v>
      </c>
      <c r="C535" s="8" t="s">
        <v>2017</v>
      </c>
      <c r="D535" s="9" t="s">
        <v>1042</v>
      </c>
      <c r="E535" s="10" t="str">
        <f>HYPERLINK("https://twitter.com/Valen/status/1070979087999614976","1070979087999614976")</f>
        <v>1070979087999614976</v>
      </c>
      <c r="F535" s="16" t="s">
        <v>1043</v>
      </c>
      <c r="G535" s="11"/>
      <c r="H535" s="11"/>
      <c r="I535" s="12">
        <v>0</v>
      </c>
      <c r="J535" s="12">
        <v>0</v>
      </c>
      <c r="K535" s="13" t="str">
        <f>HYPERLINK("https://www.google.com/","Google")</f>
        <v>Google</v>
      </c>
      <c r="L535" s="12">
        <v>1090</v>
      </c>
      <c r="M535" s="12">
        <v>332</v>
      </c>
      <c r="N535" s="12">
        <v>49</v>
      </c>
      <c r="O535" s="14"/>
      <c r="P535" s="6">
        <v>39176.789039351854</v>
      </c>
      <c r="Q535" s="15" t="s">
        <v>56</v>
      </c>
      <c r="R535" s="17" t="s">
        <v>2018</v>
      </c>
      <c r="S535" s="16" t="s">
        <v>2019</v>
      </c>
      <c r="T535" s="11"/>
      <c r="U535" s="10" t="str">
        <f>HYPERLINK("https://pbs.twimg.com/profile_images/3781146228/48d4fb6b5469a97b8c60034271ac11de.jpeg","View")</f>
        <v>View</v>
      </c>
    </row>
    <row r="536" spans="1:21" ht="51">
      <c r="A536" s="6">
        <v>43441.450694444444</v>
      </c>
      <c r="B536" s="7" t="str">
        <f>HYPERLINK("https://twitter.com/TonivicenJos","@TonivicenJos")</f>
        <v>@TonivicenJos</v>
      </c>
      <c r="C536" s="8" t="s">
        <v>2020</v>
      </c>
      <c r="D536" s="9" t="s">
        <v>2021</v>
      </c>
      <c r="E536" s="10" t="str">
        <f>HYPERLINK("https://twitter.com/TonivicenJos/status/1070978474674933760","1070978474674933760")</f>
        <v>1070978474674933760</v>
      </c>
      <c r="F536" s="16" t="s">
        <v>2022</v>
      </c>
      <c r="G536" s="16" t="s">
        <v>2023</v>
      </c>
      <c r="H536" s="11"/>
      <c r="I536" s="12">
        <v>0</v>
      </c>
      <c r="J536" s="12">
        <v>0</v>
      </c>
      <c r="K536" s="13" t="str">
        <f t="shared" ref="K536:K537" si="138">HYPERLINK("http://twitter.com/download/android","Twitter for Android")</f>
        <v>Twitter for Android</v>
      </c>
      <c r="L536" s="12">
        <v>79</v>
      </c>
      <c r="M536" s="12">
        <v>88</v>
      </c>
      <c r="N536" s="12">
        <v>0</v>
      </c>
      <c r="O536" s="14"/>
      <c r="P536" s="6">
        <v>41083.537418981483</v>
      </c>
      <c r="Q536" s="15" t="s">
        <v>2024</v>
      </c>
      <c r="R536" s="17" t="s">
        <v>2025</v>
      </c>
      <c r="S536" s="11"/>
      <c r="T536" s="11"/>
      <c r="U536" s="10" t="str">
        <f>HYPERLINK("https://pbs.twimg.com/profile_images/344513261574988844/973b595602a024ae011bcc3bc581c6e9.jpeg","View")</f>
        <v>View</v>
      </c>
    </row>
    <row r="537" spans="1:21" ht="30.6">
      <c r="A537" s="6">
        <v>43441.450636574074</v>
      </c>
      <c r="B537" s="7" t="str">
        <f>HYPERLINK("https://twitter.com/marijosillero1","@marijosillero1")</f>
        <v>@marijosillero1</v>
      </c>
      <c r="C537" s="8" t="s">
        <v>2026</v>
      </c>
      <c r="D537" s="9" t="s">
        <v>2027</v>
      </c>
      <c r="E537" s="10" t="str">
        <f>HYPERLINK("https://twitter.com/marijosillero1/status/1070978453632098304","1070978453632098304")</f>
        <v>1070978453632098304</v>
      </c>
      <c r="F537" s="11"/>
      <c r="G537" s="16" t="s">
        <v>2028</v>
      </c>
      <c r="H537" s="11"/>
      <c r="I537" s="12">
        <v>0</v>
      </c>
      <c r="J537" s="12">
        <v>2</v>
      </c>
      <c r="K537" s="13" t="str">
        <f t="shared" si="138"/>
        <v>Twitter for Android</v>
      </c>
      <c r="L537" s="12">
        <v>324</v>
      </c>
      <c r="M537" s="12">
        <v>321</v>
      </c>
      <c r="N537" s="12">
        <v>0</v>
      </c>
      <c r="O537" s="14"/>
      <c r="P537" s="6">
        <v>40847.385324074072</v>
      </c>
      <c r="Q537" s="15" t="s">
        <v>2029</v>
      </c>
      <c r="R537" s="17" t="s">
        <v>2030</v>
      </c>
      <c r="S537" s="11"/>
      <c r="T537" s="11"/>
      <c r="U537" s="10" t="str">
        <f>HYPERLINK("https://pbs.twimg.com/profile_images/1010420829404979200/eVT89M8W.jpg","View")</f>
        <v>View</v>
      </c>
    </row>
    <row r="538" spans="1:21" ht="51">
      <c r="A538" s="6">
        <v>43441.44939814815</v>
      </c>
      <c r="B538" s="7" t="str">
        <f>HYPERLINK("https://twitter.com/juananmartin_","@juananmartin_")</f>
        <v>@juananmartin_</v>
      </c>
      <c r="C538" s="8" t="s">
        <v>2031</v>
      </c>
      <c r="D538" s="9" t="s">
        <v>2032</v>
      </c>
      <c r="E538" s="10" t="str">
        <f>HYPERLINK("https://twitter.com/juananmartin_/status/1070978002383712256","1070978002383712256")</f>
        <v>1070978002383712256</v>
      </c>
      <c r="F538" s="16" t="s">
        <v>126</v>
      </c>
      <c r="G538" s="16" t="s">
        <v>127</v>
      </c>
      <c r="H538" s="11"/>
      <c r="I538" s="12">
        <v>0</v>
      </c>
      <c r="J538" s="12">
        <v>0</v>
      </c>
      <c r="K538" s="13" t="str">
        <f>HYPERLINK("http://twitter.com/download/iphone","Twitter for iPhone")</f>
        <v>Twitter for iPhone</v>
      </c>
      <c r="L538" s="12">
        <v>643</v>
      </c>
      <c r="M538" s="12">
        <v>540</v>
      </c>
      <c r="N538" s="12">
        <v>25</v>
      </c>
      <c r="O538" s="14"/>
      <c r="P538" s="6">
        <v>41334.574212962965</v>
      </c>
      <c r="Q538" s="15" t="s">
        <v>2033</v>
      </c>
      <c r="R538" s="17" t="s">
        <v>2034</v>
      </c>
      <c r="S538" s="11"/>
      <c r="T538" s="11"/>
      <c r="U538" s="10" t="str">
        <f>HYPERLINK("https://pbs.twimg.com/profile_images/1050997917048340481/x2eIAknC.jpg","View")</f>
        <v>View</v>
      </c>
    </row>
    <row r="539" spans="1:21" ht="20.399999999999999">
      <c r="A539" s="6">
        <v>43441.446099537032</v>
      </c>
      <c r="B539" s="7" t="str">
        <f>HYPERLINK("https://twitter.com/PpcaballosPepe","@PpcaballosPepe")</f>
        <v>@PpcaballosPepe</v>
      </c>
      <c r="C539" s="8" t="s">
        <v>2035</v>
      </c>
      <c r="D539" s="9" t="s">
        <v>2036</v>
      </c>
      <c r="E539" s="10" t="str">
        <f>HYPERLINK("https://twitter.com/PpcaballosPepe/status/1070976809276182528","1070976809276182528")</f>
        <v>1070976809276182528</v>
      </c>
      <c r="F539" s="16" t="s">
        <v>2037</v>
      </c>
      <c r="G539" s="11"/>
      <c r="H539" s="11"/>
      <c r="I539" s="12">
        <v>0</v>
      </c>
      <c r="J539" s="12">
        <v>0</v>
      </c>
      <c r="K539" s="13" t="str">
        <f t="shared" ref="K539:K540" si="139">HYPERLINK("http://twitter.com/download/android","Twitter for Android")</f>
        <v>Twitter for Android</v>
      </c>
      <c r="L539" s="12">
        <v>71</v>
      </c>
      <c r="M539" s="12">
        <v>205</v>
      </c>
      <c r="N539" s="12">
        <v>0</v>
      </c>
      <c r="O539" s="14"/>
      <c r="P539" s="6">
        <v>40963.386145833334</v>
      </c>
      <c r="Q539" s="11"/>
      <c r="R539" s="17" t="s">
        <v>2038</v>
      </c>
      <c r="S539" s="11"/>
      <c r="T539" s="11"/>
      <c r="U539" s="23" t="s">
        <v>437</v>
      </c>
    </row>
    <row r="540" spans="1:21" ht="20.399999999999999">
      <c r="A540" s="6">
        <v>43441.440787037034</v>
      </c>
      <c r="B540" s="7" t="str">
        <f>HYPERLINK("https://twitter.com/Barbadillo1950","@Barbadillo1950")</f>
        <v>@Barbadillo1950</v>
      </c>
      <c r="C540" s="8" t="s">
        <v>2039</v>
      </c>
      <c r="D540" s="9" t="s">
        <v>2036</v>
      </c>
      <c r="E540" s="10" t="str">
        <f>HYPERLINK("https://twitter.com/Barbadillo1950/status/1070974884078125057","1070974884078125057")</f>
        <v>1070974884078125057</v>
      </c>
      <c r="F540" s="16" t="s">
        <v>2040</v>
      </c>
      <c r="G540" s="11"/>
      <c r="H540" s="11"/>
      <c r="I540" s="12">
        <v>0</v>
      </c>
      <c r="J540" s="12">
        <v>0</v>
      </c>
      <c r="K540" s="13" t="str">
        <f t="shared" si="139"/>
        <v>Twitter for Android</v>
      </c>
      <c r="L540" s="12">
        <v>272</v>
      </c>
      <c r="M540" s="12">
        <v>248</v>
      </c>
      <c r="N540" s="12">
        <v>1</v>
      </c>
      <c r="O540" s="14"/>
      <c r="P540" s="6">
        <v>43410.570497685185</v>
      </c>
      <c r="Q540" s="15" t="s">
        <v>2041</v>
      </c>
      <c r="R540" s="17" t="s">
        <v>2042</v>
      </c>
      <c r="S540" s="11"/>
      <c r="T540" s="11"/>
      <c r="U540" s="10" t="str">
        <f>HYPERLINK("https://pbs.twimg.com/profile_images/1059797052622811136/fcL7DoBb.jpg","View")</f>
        <v>View</v>
      </c>
    </row>
    <row r="541" spans="1:21" ht="51">
      <c r="A541" s="6">
        <v>43441.439039351855</v>
      </c>
      <c r="B541" s="7" t="str">
        <f>HYPERLINK("https://twitter.com/HispaniaFortius","@HispaniaFortius")</f>
        <v>@HispaniaFortius</v>
      </c>
      <c r="C541" s="8" t="s">
        <v>1078</v>
      </c>
      <c r="D541" s="9" t="s">
        <v>2043</v>
      </c>
      <c r="E541" s="10" t="str">
        <f>HYPERLINK("https://twitter.com/HispaniaFortius/status/1070974249173696513","1070974249173696513")</f>
        <v>1070974249173696513</v>
      </c>
      <c r="F541" s="16" t="s">
        <v>2044</v>
      </c>
      <c r="G541" s="11"/>
      <c r="H541" s="11"/>
      <c r="I541" s="12">
        <v>3</v>
      </c>
      <c r="J541" s="12">
        <v>2</v>
      </c>
      <c r="K541" s="13" t="str">
        <f>HYPERLINK("http://twitter.com","Twitter Web Client")</f>
        <v>Twitter Web Client</v>
      </c>
      <c r="L541" s="12">
        <v>4830</v>
      </c>
      <c r="M541" s="12">
        <v>3180</v>
      </c>
      <c r="N541" s="12">
        <v>25</v>
      </c>
      <c r="O541" s="14"/>
      <c r="P541" s="6">
        <v>42705.48436342593</v>
      </c>
      <c r="Q541" s="15" t="s">
        <v>1081</v>
      </c>
      <c r="R541" s="17" t="s">
        <v>1082</v>
      </c>
      <c r="S541" s="16" t="s">
        <v>1083</v>
      </c>
      <c r="T541" s="11"/>
      <c r="U541" s="10" t="str">
        <f>HYPERLINK("https://pbs.twimg.com/profile_images/1046663897560829952/eNO1bPMq.jpg","View")</f>
        <v>View</v>
      </c>
    </row>
    <row r="542" spans="1:21" ht="30.6">
      <c r="A542" s="6">
        <v>43441.435937499999</v>
      </c>
      <c r="B542" s="7" t="str">
        <f>HYPERLINK("https://twitter.com/antontxo","@antontxo")</f>
        <v>@antontxo</v>
      </c>
      <c r="C542" s="8" t="s">
        <v>2004</v>
      </c>
      <c r="D542" s="9" t="s">
        <v>2045</v>
      </c>
      <c r="E542" s="10" t="str">
        <f>HYPERLINK("https://twitter.com/antontxo/status/1070973126471770112","1070973126471770112")</f>
        <v>1070973126471770112</v>
      </c>
      <c r="F542" s="11"/>
      <c r="G542" s="16" t="s">
        <v>2046</v>
      </c>
      <c r="H542" s="11"/>
      <c r="I542" s="12">
        <v>0</v>
      </c>
      <c r="J542" s="12">
        <v>0</v>
      </c>
      <c r="K542" s="13" t="str">
        <f>HYPERLINK("http://twitter.com/download/android","Twitter for Android")</f>
        <v>Twitter for Android</v>
      </c>
      <c r="L542" s="12">
        <v>1423</v>
      </c>
      <c r="M542" s="12">
        <v>1969</v>
      </c>
      <c r="N542" s="12">
        <v>52</v>
      </c>
      <c r="O542" s="14"/>
      <c r="P542" s="6">
        <v>39938.792708333334</v>
      </c>
      <c r="Q542" s="15" t="s">
        <v>2007</v>
      </c>
      <c r="R542" s="17" t="s">
        <v>2008</v>
      </c>
      <c r="S542" s="11"/>
      <c r="T542" s="11"/>
      <c r="U542" s="10" t="str">
        <f>HYPERLINK("https://pbs.twimg.com/profile_images/906009695546105858/AXkNKskw.jpg","View")</f>
        <v>View</v>
      </c>
    </row>
    <row r="543" spans="1:21" ht="61.2">
      <c r="A543" s="6">
        <v>43441.433912037042</v>
      </c>
      <c r="B543" s="7" t="str">
        <f>HYPERLINK("https://twitter.com/Anaregblanco","@Anaregblanco")</f>
        <v>@Anaregblanco</v>
      </c>
      <c r="C543" s="8" t="s">
        <v>2047</v>
      </c>
      <c r="D543" s="9" t="s">
        <v>2048</v>
      </c>
      <c r="E543" s="10" t="str">
        <f>HYPERLINK("https://twitter.com/Anaregblanco/status/1070972393282265089","1070972393282265089")</f>
        <v>1070972393282265089</v>
      </c>
      <c r="F543" s="11"/>
      <c r="G543" s="11"/>
      <c r="H543" s="11"/>
      <c r="I543" s="12">
        <v>1</v>
      </c>
      <c r="J543" s="12">
        <v>9</v>
      </c>
      <c r="K543" s="13" t="str">
        <f>HYPERLINK("http://twitter.com/download/iphone","Twitter for iPhone")</f>
        <v>Twitter for iPhone</v>
      </c>
      <c r="L543" s="12">
        <v>1235</v>
      </c>
      <c r="M543" s="12">
        <v>1105</v>
      </c>
      <c r="N543" s="12">
        <v>22</v>
      </c>
      <c r="O543" s="14"/>
      <c r="P543" s="6">
        <v>40410.474490740744</v>
      </c>
      <c r="Q543" s="11"/>
      <c r="R543" s="17" t="s">
        <v>2049</v>
      </c>
      <c r="S543" s="11"/>
      <c r="T543" s="11"/>
      <c r="U543" s="10" t="str">
        <f>HYPERLINK("https://pbs.twimg.com/profile_images/1065526591780999168/vuK9rZ94.jpg","View")</f>
        <v>View</v>
      </c>
    </row>
    <row r="544" spans="1:21" ht="40.799999999999997">
      <c r="A544" s="6">
        <v>43441.433113425926</v>
      </c>
      <c r="B544" s="7" t="str">
        <f>HYPERLINK("https://twitter.com/SMJjjjjjjjj","@SMJjjjjjjjj")</f>
        <v>@SMJjjjjjjjj</v>
      </c>
      <c r="C544" s="8" t="s">
        <v>2050</v>
      </c>
      <c r="D544" s="9" t="s">
        <v>2051</v>
      </c>
      <c r="E544" s="10" t="str">
        <f>HYPERLINK("https://twitter.com/SMJjjjjjjjj/status/1070972103283884032","1070972103283884032")</f>
        <v>1070972103283884032</v>
      </c>
      <c r="F544" s="11"/>
      <c r="G544" s="16" t="s">
        <v>2052</v>
      </c>
      <c r="H544" s="11"/>
      <c r="I544" s="12">
        <v>0</v>
      </c>
      <c r="J544" s="12">
        <v>0</v>
      </c>
      <c r="K544" s="13" t="str">
        <f>HYPERLINK("https://mobile.twitter.com","Twitter Lite")</f>
        <v>Twitter Lite</v>
      </c>
      <c r="L544" s="12">
        <v>168</v>
      </c>
      <c r="M544" s="12">
        <v>292</v>
      </c>
      <c r="N544" s="12">
        <v>4</v>
      </c>
      <c r="O544" s="14"/>
      <c r="P544" s="6">
        <v>40697.71943287037</v>
      </c>
      <c r="Q544" s="15" t="s">
        <v>2053</v>
      </c>
      <c r="R544" s="17" t="s">
        <v>2054</v>
      </c>
      <c r="S544" s="16" t="s">
        <v>2055</v>
      </c>
      <c r="T544" s="11"/>
      <c r="U544" s="10" t="str">
        <f>HYPERLINK("https://pbs.twimg.com/profile_images/1027879658472267776/Sji5_EE6.jpg","View")</f>
        <v>View</v>
      </c>
    </row>
    <row r="545" spans="1:21" ht="40.799999999999997">
      <c r="A545" s="6">
        <v>43441.433078703703</v>
      </c>
      <c r="B545" s="7" t="str">
        <f>HYPERLINK("https://twitter.com/intercityfirm75","@intercityfirm75")</f>
        <v>@intercityfirm75</v>
      </c>
      <c r="C545" s="8" t="s">
        <v>2056</v>
      </c>
      <c r="D545" s="9" t="s">
        <v>2057</v>
      </c>
      <c r="E545" s="10" t="str">
        <f>HYPERLINK("https://twitter.com/intercityfirm75/status/1070972088733892609","1070972088733892609")</f>
        <v>1070972088733892609</v>
      </c>
      <c r="F545" s="11"/>
      <c r="G545" s="11"/>
      <c r="H545" s="11"/>
      <c r="I545" s="12">
        <v>0</v>
      </c>
      <c r="J545" s="12">
        <v>0</v>
      </c>
      <c r="K545" s="13" t="str">
        <f t="shared" ref="K545:K546" si="140">HYPERLINK("http://twitter.com/download/android","Twitter for Android")</f>
        <v>Twitter for Android</v>
      </c>
      <c r="L545" s="12">
        <v>669</v>
      </c>
      <c r="M545" s="12">
        <v>358</v>
      </c>
      <c r="N545" s="12">
        <v>3</v>
      </c>
      <c r="O545" s="14"/>
      <c r="P545" s="6">
        <v>40845.92564814815</v>
      </c>
      <c r="Q545" s="11"/>
      <c r="R545" s="17" t="s">
        <v>2058</v>
      </c>
      <c r="S545" s="11"/>
      <c r="T545" s="11"/>
      <c r="U545" s="10" t="str">
        <f>HYPERLINK("https://pbs.twimg.com/profile_images/659151833471041537/OgrWJXIy.jpg","View")</f>
        <v>View</v>
      </c>
    </row>
    <row r="546" spans="1:21" ht="51">
      <c r="A546" s="6">
        <v>43441.431354166663</v>
      </c>
      <c r="B546" s="7" t="str">
        <f>HYPERLINK("https://twitter.com/JuanitoTr","@JuanitoTr")</f>
        <v>@JuanitoTr</v>
      </c>
      <c r="C546" s="8" t="s">
        <v>2059</v>
      </c>
      <c r="D546" s="9" t="s">
        <v>2060</v>
      </c>
      <c r="E546" s="10" t="str">
        <f>HYPERLINK("https://twitter.com/JuanitoTr/status/1070971463774158848","1070971463774158848")</f>
        <v>1070971463774158848</v>
      </c>
      <c r="F546" s="15" t="s">
        <v>2061</v>
      </c>
      <c r="G546" s="11"/>
      <c r="H546" s="11"/>
      <c r="I546" s="12">
        <v>2</v>
      </c>
      <c r="J546" s="12">
        <v>3</v>
      </c>
      <c r="K546" s="13" t="str">
        <f t="shared" si="140"/>
        <v>Twitter for Android</v>
      </c>
      <c r="L546" s="12">
        <v>1250</v>
      </c>
      <c r="M546" s="12">
        <v>1006</v>
      </c>
      <c r="N546" s="12">
        <v>17</v>
      </c>
      <c r="O546" s="14"/>
      <c r="P546" s="6">
        <v>40562.809270833335</v>
      </c>
      <c r="Q546" s="15" t="s">
        <v>2062</v>
      </c>
      <c r="R546" s="17" t="s">
        <v>2063</v>
      </c>
      <c r="S546" s="11"/>
      <c r="T546" s="11"/>
      <c r="U546" s="10" t="str">
        <f>HYPERLINK("https://pbs.twimg.com/profile_images/1063573870635073537/nlWYytBO.jpg","View")</f>
        <v>View</v>
      </c>
    </row>
    <row r="547" spans="1:21" ht="40.799999999999997">
      <c r="A547" s="6">
        <v>43441.430810185186</v>
      </c>
      <c r="B547" s="7" t="str">
        <f>HYPERLINK("https://twitter.com/pportales","@pportales")</f>
        <v>@pportales</v>
      </c>
      <c r="C547" s="8" t="s">
        <v>2064</v>
      </c>
      <c r="D547" s="9" t="s">
        <v>2065</v>
      </c>
      <c r="E547" s="10" t="str">
        <f>HYPERLINK("https://twitter.com/pportales/status/1070971267988275201","1070971267988275201")</f>
        <v>1070971267988275201</v>
      </c>
      <c r="F547" s="16" t="s">
        <v>2066</v>
      </c>
      <c r="G547" s="11"/>
      <c r="H547" s="11"/>
      <c r="I547" s="12">
        <v>0</v>
      </c>
      <c r="J547" s="12">
        <v>0</v>
      </c>
      <c r="K547" s="13" t="str">
        <f>HYPERLINK("http://twitter.com","Twitter Web Client")</f>
        <v>Twitter Web Client</v>
      </c>
      <c r="L547" s="12">
        <v>110</v>
      </c>
      <c r="M547" s="12">
        <v>70</v>
      </c>
      <c r="N547" s="12">
        <v>5</v>
      </c>
      <c r="O547" s="14"/>
      <c r="P547" s="6">
        <v>40473.386562500003</v>
      </c>
      <c r="Q547" s="16" t="s">
        <v>2067</v>
      </c>
      <c r="R547" s="17" t="s">
        <v>2068</v>
      </c>
      <c r="S547" s="16" t="s">
        <v>2069</v>
      </c>
      <c r="T547" s="11"/>
      <c r="U547" s="10" t="str">
        <f>HYPERLINK("https://pbs.twimg.com/profile_images/2527468920/cfoucyjs9pwpsbxpl9vd.jpeg","View")</f>
        <v>View</v>
      </c>
    </row>
    <row r="548" spans="1:21" ht="20.399999999999999">
      <c r="A548" s="6">
        <v>43441.425243055557</v>
      </c>
      <c r="B548" s="7" t="str">
        <f>HYPERLINK("https://twitter.com/burladerotv","@burladerotv")</f>
        <v>@burladerotv</v>
      </c>
      <c r="C548" s="8" t="s">
        <v>2070</v>
      </c>
      <c r="D548" s="9" t="s">
        <v>2071</v>
      </c>
      <c r="E548" s="10" t="str">
        <f>HYPERLINK("https://twitter.com/burladerotv/status/1070969249848586240","1070969249848586240")</f>
        <v>1070969249848586240</v>
      </c>
      <c r="F548" s="16" t="s">
        <v>2072</v>
      </c>
      <c r="G548" s="11"/>
      <c r="H548" s="11"/>
      <c r="I548" s="12">
        <v>1</v>
      </c>
      <c r="J548" s="12">
        <v>0</v>
      </c>
      <c r="K548" s="13" t="str">
        <f t="shared" ref="K548:K552" si="141">HYPERLINK("http://twitter.com/download/android","Twitter for Android")</f>
        <v>Twitter for Android</v>
      </c>
      <c r="L548" s="12">
        <v>50341</v>
      </c>
      <c r="M548" s="12">
        <v>2919</v>
      </c>
      <c r="N548" s="12">
        <v>392</v>
      </c>
      <c r="O548" s="14"/>
      <c r="P548" s="6">
        <v>40218.845219907409</v>
      </c>
      <c r="Q548" s="15" t="s">
        <v>197</v>
      </c>
      <c r="R548" s="17" t="s">
        <v>2073</v>
      </c>
      <c r="S548" s="16" t="s">
        <v>2074</v>
      </c>
      <c r="T548" s="11"/>
      <c r="U548" s="10" t="str">
        <f>HYPERLINK("https://pbs.twimg.com/profile_images/1018481402529099776/QM5bkUQ_.jpg","View")</f>
        <v>View</v>
      </c>
    </row>
    <row r="549" spans="1:21" ht="71.400000000000006">
      <c r="A549" s="6">
        <v>43441.42255787037</v>
      </c>
      <c r="B549" s="7" t="str">
        <f>HYPERLINK("https://twitter.com/MutisAlejandro","@MutisAlejandro")</f>
        <v>@MutisAlejandro</v>
      </c>
      <c r="C549" s="8" t="s">
        <v>782</v>
      </c>
      <c r="D549" s="9" t="s">
        <v>2075</v>
      </c>
      <c r="E549" s="10" t="str">
        <f>HYPERLINK("https://twitter.com/MutisAlejandro/status/1070968277587910656","1070968277587910656")</f>
        <v>1070968277587910656</v>
      </c>
      <c r="F549" s="11"/>
      <c r="G549" s="16" t="s">
        <v>2076</v>
      </c>
      <c r="H549" s="11"/>
      <c r="I549" s="12">
        <v>0</v>
      </c>
      <c r="J549" s="12">
        <v>1</v>
      </c>
      <c r="K549" s="13" t="str">
        <f t="shared" si="141"/>
        <v>Twitter for Android</v>
      </c>
      <c r="L549" s="12">
        <v>2185</v>
      </c>
      <c r="M549" s="12">
        <v>2344</v>
      </c>
      <c r="N549" s="12">
        <v>35</v>
      </c>
      <c r="O549" s="14"/>
      <c r="P549" s="6">
        <v>40845.559363425928</v>
      </c>
      <c r="Q549" s="15" t="s">
        <v>197</v>
      </c>
      <c r="R549" s="17" t="s">
        <v>785</v>
      </c>
      <c r="S549" s="16" t="s">
        <v>786</v>
      </c>
      <c r="T549" s="11"/>
      <c r="U549" s="10" t="str">
        <f>HYPERLINK("https://pbs.twimg.com/profile_images/1012335158710718464/VWXHt596.jpg","View")</f>
        <v>View</v>
      </c>
    </row>
    <row r="550" spans="1:21" ht="40.799999999999997">
      <c r="A550" s="6">
        <v>43441.418726851851</v>
      </c>
      <c r="B550" s="7" t="str">
        <f>HYPERLINK("https://twitter.com/IgnManzanares","@IgnManzanares")</f>
        <v>@IgnManzanares</v>
      </c>
      <c r="C550" s="8" t="s">
        <v>2077</v>
      </c>
      <c r="D550" s="9" t="s">
        <v>2078</v>
      </c>
      <c r="E550" s="10" t="str">
        <f>HYPERLINK("https://twitter.com/IgnManzanares/status/1070966886538596353","1070966886538596353")</f>
        <v>1070966886538596353</v>
      </c>
      <c r="F550" s="11"/>
      <c r="G550" s="16" t="s">
        <v>2079</v>
      </c>
      <c r="H550" s="11"/>
      <c r="I550" s="12">
        <v>0</v>
      </c>
      <c r="J550" s="12">
        <v>0</v>
      </c>
      <c r="K550" s="13" t="str">
        <f t="shared" si="141"/>
        <v>Twitter for Android</v>
      </c>
      <c r="L550" s="12">
        <v>114</v>
      </c>
      <c r="M550" s="12">
        <v>439</v>
      </c>
      <c r="N550" s="12">
        <v>0</v>
      </c>
      <c r="O550" s="14"/>
      <c r="P550" s="6">
        <v>41369.634189814817</v>
      </c>
      <c r="Q550" s="15" t="s">
        <v>2080</v>
      </c>
      <c r="R550" s="17" t="s">
        <v>2081</v>
      </c>
      <c r="S550" s="11"/>
      <c r="T550" s="11"/>
      <c r="U550" s="10" t="str">
        <f>HYPERLINK("https://pbs.twimg.com/profile_images/1025713053919260672/WCeu-kOZ.jpg","View")</f>
        <v>View</v>
      </c>
    </row>
    <row r="551" spans="1:21" ht="40.799999999999997">
      <c r="A551" s="6">
        <v>43441.418182870373</v>
      </c>
      <c r="B551" s="7" t="str">
        <f>HYPERLINK("https://twitter.com/Vityspain","@Vityspain")</f>
        <v>@Vityspain</v>
      </c>
      <c r="C551" s="8" t="s">
        <v>1661</v>
      </c>
      <c r="D551" s="9" t="s">
        <v>2082</v>
      </c>
      <c r="E551" s="10" t="str">
        <f>HYPERLINK("https://twitter.com/Vityspain/status/1070966692262625280","1070966692262625280")</f>
        <v>1070966692262625280</v>
      </c>
      <c r="F551" s="16" t="s">
        <v>1663</v>
      </c>
      <c r="G551" s="11"/>
      <c r="H551" s="11"/>
      <c r="I551" s="12">
        <v>0</v>
      </c>
      <c r="J551" s="12">
        <v>0</v>
      </c>
      <c r="K551" s="13" t="str">
        <f t="shared" si="141"/>
        <v>Twitter for Android</v>
      </c>
      <c r="L551" s="12">
        <v>2159</v>
      </c>
      <c r="M551" s="12">
        <v>2129</v>
      </c>
      <c r="N551" s="12">
        <v>46</v>
      </c>
      <c r="O551" s="14"/>
      <c r="P551" s="6">
        <v>40530.921736111108</v>
      </c>
      <c r="Q551" s="15" t="s">
        <v>197</v>
      </c>
      <c r="R551" s="17" t="s">
        <v>1664</v>
      </c>
      <c r="S551" s="11"/>
      <c r="T551" s="11"/>
      <c r="U551" s="10" t="str">
        <f>HYPERLINK("https://pbs.twimg.com/profile_images/1071414131906019328/A5h9O2aJ.jpg","View")</f>
        <v>View</v>
      </c>
    </row>
    <row r="552" spans="1:21" ht="40.799999999999997">
      <c r="A552" s="6">
        <v>43441.417824074073</v>
      </c>
      <c r="B552" s="7" t="str">
        <f>HYPERLINK("https://twitter.com/TabarniaG","@TabarniaG")</f>
        <v>@TabarniaG</v>
      </c>
      <c r="C552" s="8" t="s">
        <v>2083</v>
      </c>
      <c r="D552" s="9" t="s">
        <v>2082</v>
      </c>
      <c r="E552" s="10" t="str">
        <f>HYPERLINK("https://twitter.com/TabarniaG/status/1070966559768756224","1070966559768756224")</f>
        <v>1070966559768756224</v>
      </c>
      <c r="F552" s="16" t="s">
        <v>1663</v>
      </c>
      <c r="G552" s="11"/>
      <c r="H552" s="11"/>
      <c r="I552" s="12">
        <v>0</v>
      </c>
      <c r="J552" s="12">
        <v>0</v>
      </c>
      <c r="K552" s="13" t="str">
        <f t="shared" si="141"/>
        <v>Twitter for Android</v>
      </c>
      <c r="L552" s="12">
        <v>532</v>
      </c>
      <c r="M552" s="12">
        <v>251</v>
      </c>
      <c r="N552" s="12">
        <v>7</v>
      </c>
      <c r="O552" s="14"/>
      <c r="P552" s="6">
        <v>43097.067199074074</v>
      </c>
      <c r="Q552" s="15" t="s">
        <v>2084</v>
      </c>
      <c r="R552" s="17" t="s">
        <v>2085</v>
      </c>
      <c r="S552" s="11"/>
      <c r="T552" s="11"/>
      <c r="U552" s="10" t="str">
        <f>HYPERLINK("https://pbs.twimg.com/profile_images/946543633267941377/TUDPsxMg.jpg","View")</f>
        <v>View</v>
      </c>
    </row>
    <row r="553" spans="1:21" ht="40.799999999999997">
      <c r="A553" s="6">
        <v>43441.41578703704</v>
      </c>
      <c r="B553" s="7" t="str">
        <f>HYPERLINK("https://twitter.com/enlos_SILENCIOS","@enlos_SILENCIOS")</f>
        <v>@enlos_SILENCIOS</v>
      </c>
      <c r="C553" s="8" t="s">
        <v>2086</v>
      </c>
      <c r="D553" s="9" t="s">
        <v>2087</v>
      </c>
      <c r="E553" s="10" t="str">
        <f>HYPERLINK("https://twitter.com/enlos_SILENCIOS/status/1070965823681060864","1070965823681060864")</f>
        <v>1070965823681060864</v>
      </c>
      <c r="F553" s="16" t="s">
        <v>2088</v>
      </c>
      <c r="G553" s="11"/>
      <c r="H553" s="11"/>
      <c r="I553" s="12">
        <v>1</v>
      </c>
      <c r="J553" s="12">
        <v>0</v>
      </c>
      <c r="K553" s="13" t="str">
        <f>HYPERLINK("http://twitter.com","Twitter Web Client")</f>
        <v>Twitter Web Client</v>
      </c>
      <c r="L553" s="12">
        <v>242</v>
      </c>
      <c r="M553" s="12">
        <v>892</v>
      </c>
      <c r="N553" s="12">
        <v>1</v>
      </c>
      <c r="O553" s="14"/>
      <c r="P553" s="6">
        <v>41750.743275462963</v>
      </c>
      <c r="Q553" s="11"/>
      <c r="R553" s="17" t="s">
        <v>2089</v>
      </c>
      <c r="S553" s="11"/>
      <c r="T553" s="11"/>
      <c r="U553" s="10" t="str">
        <f>HYPERLINK("https://pbs.twimg.com/profile_images/1012261097657774080/hSvbsdXD.jpg","View")</f>
        <v>View</v>
      </c>
    </row>
    <row r="554" spans="1:21" ht="81.599999999999994">
      <c r="A554" s="6">
        <v>43441.414293981477</v>
      </c>
      <c r="B554" s="7" t="str">
        <f>HYPERLINK("https://twitter.com/hugorc22_","@hugorc22_")</f>
        <v>@hugorc22_</v>
      </c>
      <c r="C554" s="8" t="s">
        <v>2090</v>
      </c>
      <c r="D554" s="9" t="s">
        <v>2091</v>
      </c>
      <c r="E554" s="10" t="str">
        <f>HYPERLINK("https://twitter.com/hugorc22_/status/1070965283114942464","1070965283114942464")</f>
        <v>1070965283114942464</v>
      </c>
      <c r="F554" s="16" t="s">
        <v>2092</v>
      </c>
      <c r="G554" s="16" t="s">
        <v>2093</v>
      </c>
      <c r="H554" s="11"/>
      <c r="I554" s="12">
        <v>1</v>
      </c>
      <c r="J554" s="12">
        <v>3</v>
      </c>
      <c r="K554" s="13" t="str">
        <f>HYPERLINK("http://twitter.com/download/android","Twitter for Android")</f>
        <v>Twitter for Android</v>
      </c>
      <c r="L554" s="12">
        <v>175</v>
      </c>
      <c r="M554" s="12">
        <v>246</v>
      </c>
      <c r="N554" s="12">
        <v>0</v>
      </c>
      <c r="O554" s="14"/>
      <c r="P554" s="6">
        <v>42659.542048611111</v>
      </c>
      <c r="Q554" s="15" t="s">
        <v>2094</v>
      </c>
      <c r="R554" s="17" t="s">
        <v>2095</v>
      </c>
      <c r="S554" s="16" t="s">
        <v>2096</v>
      </c>
      <c r="T554" s="11"/>
      <c r="U554" s="10" t="str">
        <f>HYPERLINK("https://pbs.twimg.com/profile_images/1051140899114274816/wJ0yZcVw.jpg","View")</f>
        <v>View</v>
      </c>
    </row>
    <row r="555" spans="1:21" ht="51">
      <c r="A555" s="6">
        <v>43441.412581018521</v>
      </c>
      <c r="B555" s="7" t="str">
        <f>HYPERLINK("https://twitter.com/FG72373327","@FG72373327")</f>
        <v>@FG72373327</v>
      </c>
      <c r="C555" s="8" t="s">
        <v>2097</v>
      </c>
      <c r="D555" s="9" t="s">
        <v>2098</v>
      </c>
      <c r="E555" s="10" t="str">
        <f>HYPERLINK("https://twitter.com/FG72373327/status/1070964663112749056","1070964663112749056")</f>
        <v>1070964663112749056</v>
      </c>
      <c r="F555" s="16" t="s">
        <v>2099</v>
      </c>
      <c r="G555" s="16" t="s">
        <v>2100</v>
      </c>
      <c r="H555" s="11"/>
      <c r="I555" s="12">
        <v>0</v>
      </c>
      <c r="J555" s="12">
        <v>1</v>
      </c>
      <c r="K555" s="13" t="str">
        <f>HYPERLINK("http://twitter.com/download/iphone","Twitter for iPhone")</f>
        <v>Twitter for iPhone</v>
      </c>
      <c r="L555" s="12">
        <v>888</v>
      </c>
      <c r="M555" s="12">
        <v>926</v>
      </c>
      <c r="N555" s="12">
        <v>6</v>
      </c>
      <c r="O555" s="14"/>
      <c r="P555" s="6">
        <v>42977.396006944444</v>
      </c>
      <c r="Q555" s="15" t="s">
        <v>185</v>
      </c>
      <c r="R555" s="18"/>
      <c r="S555" s="11"/>
      <c r="T555" s="11"/>
      <c r="U555" s="10" t="str">
        <f>HYPERLINK("https://pbs.twimg.com/profile_images/902802729009111040/RUuGyEn7.jpg","View")</f>
        <v>View</v>
      </c>
    </row>
    <row r="556" spans="1:21" ht="51">
      <c r="A556" s="6">
        <v>43441.411354166667</v>
      </c>
      <c r="B556" s="7" t="str">
        <f>HYPERLINK("https://twitter.com/el_tatxu","@el_tatxu")</f>
        <v>@el_tatxu</v>
      </c>
      <c r="C556" s="8" t="s">
        <v>2101</v>
      </c>
      <c r="D556" s="9" t="s">
        <v>2102</v>
      </c>
      <c r="E556" s="10" t="str">
        <f>HYPERLINK("https://twitter.com/el_tatxu/status/1070964215740055552","1070964215740055552")</f>
        <v>1070964215740055552</v>
      </c>
      <c r="F556" s="11"/>
      <c r="G556" s="11"/>
      <c r="H556" s="11"/>
      <c r="I556" s="12">
        <v>1</v>
      </c>
      <c r="J556" s="12">
        <v>1</v>
      </c>
      <c r="K556" s="13" t="str">
        <f>HYPERLINK("http://twitter.com","Twitter Web Client")</f>
        <v>Twitter Web Client</v>
      </c>
      <c r="L556" s="12">
        <v>165</v>
      </c>
      <c r="M556" s="12">
        <v>221</v>
      </c>
      <c r="N556" s="12">
        <v>2</v>
      </c>
      <c r="O556" s="14"/>
      <c r="P556" s="6">
        <v>42410.555266203708</v>
      </c>
      <c r="Q556" s="15" t="s">
        <v>986</v>
      </c>
      <c r="R556" s="17" t="s">
        <v>2103</v>
      </c>
      <c r="S556" s="11"/>
      <c r="T556" s="11"/>
      <c r="U556" s="10" t="str">
        <f>HYPERLINK("https://pbs.twimg.com/profile_images/1040648136908267527/Yp6cTlYQ.jpg","View")</f>
        <v>View</v>
      </c>
    </row>
    <row r="557" spans="1:21" ht="71.400000000000006">
      <c r="A557" s="6">
        <v>43441.407534722224</v>
      </c>
      <c r="B557" s="7" t="str">
        <f>HYPERLINK("https://twitter.com/txomin_gara","@txomin_gara")</f>
        <v>@txomin_gara</v>
      </c>
      <c r="C557" s="8" t="s">
        <v>2104</v>
      </c>
      <c r="D557" s="9" t="s">
        <v>2105</v>
      </c>
      <c r="E557" s="10" t="str">
        <f>HYPERLINK("https://twitter.com/txomin_gara/status/1070962832462761984","1070962832462761984")</f>
        <v>1070962832462761984</v>
      </c>
      <c r="F557" s="16" t="s">
        <v>2106</v>
      </c>
      <c r="G557" s="16" t="s">
        <v>2107</v>
      </c>
      <c r="H557" s="11"/>
      <c r="I557" s="12">
        <v>4</v>
      </c>
      <c r="J557" s="12">
        <v>3</v>
      </c>
      <c r="K557" s="13" t="str">
        <f>HYPERLINK("http://twitter.com/download/iphone","Twitter for iPhone")</f>
        <v>Twitter for iPhone</v>
      </c>
      <c r="L557" s="12">
        <v>253</v>
      </c>
      <c r="M557" s="12">
        <v>309</v>
      </c>
      <c r="N557" s="12">
        <v>12</v>
      </c>
      <c r="O557" s="14"/>
      <c r="P557" s="6">
        <v>41758.920752314814</v>
      </c>
      <c r="Q557" s="11"/>
      <c r="R557" s="18"/>
      <c r="S557" s="11"/>
      <c r="T557" s="11"/>
      <c r="U557" s="10" t="str">
        <f>HYPERLINK("https://pbs.twimg.com/profile_images/461244024960344064/4rjQw27L.jpeg","View")</f>
        <v>View</v>
      </c>
    </row>
    <row r="558" spans="1:21" ht="40.799999999999997">
      <c r="A558" s="6">
        <v>43441.407141203701</v>
      </c>
      <c r="B558" s="7" t="str">
        <f>HYPERLINK("https://twitter.com/mariusBrutux","@mariusBrutux")</f>
        <v>@mariusBrutux</v>
      </c>
      <c r="C558" s="8" t="s">
        <v>2108</v>
      </c>
      <c r="D558" s="9" t="s">
        <v>2109</v>
      </c>
      <c r="E558" s="10" t="str">
        <f>HYPERLINK("https://twitter.com/mariusBrutux/status/1070962689965473793","1070962689965473793")</f>
        <v>1070962689965473793</v>
      </c>
      <c r="F558" s="11"/>
      <c r="G558" s="16" t="s">
        <v>2110</v>
      </c>
      <c r="H558" s="11"/>
      <c r="I558" s="12">
        <v>1</v>
      </c>
      <c r="J558" s="12">
        <v>0</v>
      </c>
      <c r="K558" s="13" t="str">
        <f>HYPERLINK("http://twitter.com","Twitter Web Client")</f>
        <v>Twitter Web Client</v>
      </c>
      <c r="L558" s="12">
        <v>78</v>
      </c>
      <c r="M558" s="12">
        <v>115</v>
      </c>
      <c r="N558" s="12">
        <v>0</v>
      </c>
      <c r="O558" s="14"/>
      <c r="P558" s="6">
        <v>42665.337175925924</v>
      </c>
      <c r="Q558" s="15" t="s">
        <v>2111</v>
      </c>
      <c r="R558" s="17" t="s">
        <v>2112</v>
      </c>
      <c r="S558" s="11"/>
      <c r="T558" s="11"/>
      <c r="U558" s="10" t="str">
        <f>HYPERLINK("https://pbs.twimg.com/profile_images/916382535797694465/L6AisbD4.jpg","View")</f>
        <v>View</v>
      </c>
    </row>
    <row r="559" spans="1:21" ht="20.399999999999999">
      <c r="A559" s="6">
        <v>43441.407048611116</v>
      </c>
      <c r="B559" s="7" t="str">
        <f>HYPERLINK("https://twitter.com/By_Andreita","@By_Andreita")</f>
        <v>@By_Andreita</v>
      </c>
      <c r="C559" s="8" t="s">
        <v>2113</v>
      </c>
      <c r="D559" s="9" t="s">
        <v>2114</v>
      </c>
      <c r="E559" s="10" t="str">
        <f>HYPERLINK("https://twitter.com/By_Andreita/status/1070962657132457984","1070962657132457984")</f>
        <v>1070962657132457984</v>
      </c>
      <c r="F559" s="11"/>
      <c r="G559" s="11"/>
      <c r="H559" s="11"/>
      <c r="I559" s="12">
        <v>0</v>
      </c>
      <c r="J559" s="12">
        <v>3</v>
      </c>
      <c r="K559" s="13" t="str">
        <f>HYPERLINK("http://twitter.com/download/iphone","Twitter for iPhone")</f>
        <v>Twitter for iPhone</v>
      </c>
      <c r="L559" s="12">
        <v>8119</v>
      </c>
      <c r="M559" s="12">
        <v>5618</v>
      </c>
      <c r="N559" s="12">
        <v>45</v>
      </c>
      <c r="O559" s="14"/>
      <c r="P559" s="6">
        <v>41297.441365740742</v>
      </c>
      <c r="Q559" s="15" t="s">
        <v>197</v>
      </c>
      <c r="R559" s="18"/>
      <c r="S559" s="11"/>
      <c r="T559" s="11"/>
      <c r="U559" s="10" t="str">
        <f>HYPERLINK("https://pbs.twimg.com/profile_images/1069341132960743425/7CX7Depv.jpg","View")</f>
        <v>View</v>
      </c>
    </row>
    <row r="560" spans="1:21" ht="40.799999999999997">
      <c r="A560" s="6">
        <v>43441.398194444446</v>
      </c>
      <c r="B560" s="7" t="str">
        <f>HYPERLINK("https://twitter.com/juanjocamaraf","@juanjocamaraf")</f>
        <v>@juanjocamaraf</v>
      </c>
      <c r="C560" s="8" t="s">
        <v>2115</v>
      </c>
      <c r="D560" s="9" t="s">
        <v>2116</v>
      </c>
      <c r="E560" s="10" t="str">
        <f>HYPERLINK("https://twitter.com/juanjocamaraf/status/1070959449135874049","1070959449135874049")</f>
        <v>1070959449135874049</v>
      </c>
      <c r="F560" s="11"/>
      <c r="G560" s="16" t="s">
        <v>2117</v>
      </c>
      <c r="H560" s="11"/>
      <c r="I560" s="12">
        <v>0</v>
      </c>
      <c r="J560" s="12">
        <v>0</v>
      </c>
      <c r="K560" s="13" t="str">
        <f>HYPERLINK("https://mobile.twitter.com","Twitter Lite")</f>
        <v>Twitter Lite</v>
      </c>
      <c r="L560" s="12">
        <v>30</v>
      </c>
      <c r="M560" s="12">
        <v>104</v>
      </c>
      <c r="N560" s="12">
        <v>0</v>
      </c>
      <c r="O560" s="14"/>
      <c r="P560" s="6">
        <v>42112.382905092592</v>
      </c>
      <c r="Q560" s="11"/>
      <c r="R560" s="17" t="s">
        <v>2118</v>
      </c>
      <c r="S560" s="11"/>
      <c r="T560" s="11"/>
      <c r="U560" s="10" t="str">
        <f>HYPERLINK("https://pbs.twimg.com/profile_images/1071175686054928385/T4VZ-KOX.jpg","View")</f>
        <v>View</v>
      </c>
    </row>
    <row r="561" spans="1:21" ht="20.399999999999999">
      <c r="A561" s="6">
        <v>43441.39738425926</v>
      </c>
      <c r="B561" s="7" t="str">
        <f>HYPERLINK("https://twitter.com/Dirty_Brut_Gus","@Dirty_Brut_Gus")</f>
        <v>@Dirty_Brut_Gus</v>
      </c>
      <c r="C561" s="8" t="s">
        <v>2119</v>
      </c>
      <c r="D561" s="9" t="s">
        <v>2120</v>
      </c>
      <c r="E561" s="10" t="str">
        <f>HYPERLINK("https://twitter.com/Dirty_Brut_Gus/status/1070959153714262016","1070959153714262016")</f>
        <v>1070959153714262016</v>
      </c>
      <c r="F561" s="11"/>
      <c r="G561" s="16" t="s">
        <v>2121</v>
      </c>
      <c r="H561" s="11"/>
      <c r="I561" s="12">
        <v>0</v>
      </c>
      <c r="J561" s="12">
        <v>1</v>
      </c>
      <c r="K561" s="13" t="str">
        <f t="shared" ref="K561:K562" si="142">HYPERLINK("http://twitter.com/download/android","Twitter for Android")</f>
        <v>Twitter for Android</v>
      </c>
      <c r="L561" s="12">
        <v>459</v>
      </c>
      <c r="M561" s="12">
        <v>1198</v>
      </c>
      <c r="N561" s="12">
        <v>3</v>
      </c>
      <c r="O561" s="14"/>
      <c r="P561" s="6">
        <v>40273.989085648151</v>
      </c>
      <c r="Q561" s="11"/>
      <c r="R561" s="17" t="s">
        <v>2122</v>
      </c>
      <c r="S561" s="11"/>
      <c r="T561" s="11"/>
      <c r="U561" s="10" t="str">
        <f>HYPERLINK("https://pbs.twimg.com/profile_images/1010461634807164928/EGEPEL3K.jpg","View")</f>
        <v>View</v>
      </c>
    </row>
    <row r="562" spans="1:21" ht="40.799999999999997">
      <c r="A562" s="6">
        <v>43441.394212962958</v>
      </c>
      <c r="B562" s="7" t="str">
        <f>HYPERLINK("https://twitter.com/icu1985","@icu1985")</f>
        <v>@icu1985</v>
      </c>
      <c r="C562" s="8" t="s">
        <v>2123</v>
      </c>
      <c r="D562" s="9" t="s">
        <v>2124</v>
      </c>
      <c r="E562" s="10" t="str">
        <f>HYPERLINK("https://twitter.com/icu1985/status/1070958005380964352","1070958005380964352")</f>
        <v>1070958005380964352</v>
      </c>
      <c r="F562" s="11"/>
      <c r="G562" s="11"/>
      <c r="H562" s="11"/>
      <c r="I562" s="12">
        <v>0</v>
      </c>
      <c r="J562" s="12">
        <v>0</v>
      </c>
      <c r="K562" s="13" t="str">
        <f t="shared" si="142"/>
        <v>Twitter for Android</v>
      </c>
      <c r="L562" s="12">
        <v>364</v>
      </c>
      <c r="M562" s="12">
        <v>638</v>
      </c>
      <c r="N562" s="12">
        <v>4</v>
      </c>
      <c r="O562" s="14"/>
      <c r="P562" s="6">
        <v>40836.421736111108</v>
      </c>
      <c r="Q562" s="15" t="s">
        <v>1992</v>
      </c>
      <c r="R562" s="17" t="s">
        <v>2125</v>
      </c>
      <c r="S562" s="16" t="s">
        <v>2126</v>
      </c>
      <c r="T562" s="11"/>
      <c r="U562" s="10" t="str">
        <f>HYPERLINK("https://pbs.twimg.com/profile_images/497051734334640128/Rr_Yoz6E.jpeg","View")</f>
        <v>View</v>
      </c>
    </row>
    <row r="563" spans="1:21" ht="61.2">
      <c r="A563" s="6">
        <v>43441.393020833333</v>
      </c>
      <c r="B563" s="7" t="str">
        <f>HYPERLINK("https://twitter.com/DuplaMaria","@DuplaMaria")</f>
        <v>@DuplaMaria</v>
      </c>
      <c r="C563" s="8" t="s">
        <v>2127</v>
      </c>
      <c r="D563" s="9" t="s">
        <v>2128</v>
      </c>
      <c r="E563" s="10" t="str">
        <f>HYPERLINK("https://twitter.com/DuplaMaria/status/1070957572126060544","1070957572126060544")</f>
        <v>1070957572126060544</v>
      </c>
      <c r="F563" s="11"/>
      <c r="G563" s="16" t="s">
        <v>2129</v>
      </c>
      <c r="H563" s="11"/>
      <c r="I563" s="12">
        <v>4</v>
      </c>
      <c r="J563" s="12">
        <v>7</v>
      </c>
      <c r="K563" s="13" t="str">
        <f>HYPERLINK("http://twitter.com/download/iphone","Twitter for iPhone")</f>
        <v>Twitter for iPhone</v>
      </c>
      <c r="L563" s="12">
        <v>1269</v>
      </c>
      <c r="M563" s="12">
        <v>211</v>
      </c>
      <c r="N563" s="12">
        <v>4</v>
      </c>
      <c r="O563" s="14"/>
      <c r="P563" s="6">
        <v>42114.73914351852</v>
      </c>
      <c r="Q563" s="15" t="s">
        <v>986</v>
      </c>
      <c r="R563" s="17" t="s">
        <v>2130</v>
      </c>
      <c r="S563" s="11"/>
      <c r="T563" s="11"/>
      <c r="U563" s="10" t="str">
        <f>HYPERLINK("https://pbs.twimg.com/profile_images/1063379704403628032/GXnUDrxV.jpg","View")</f>
        <v>View</v>
      </c>
    </row>
    <row r="564" spans="1:21" ht="40.799999999999997">
      <c r="A564" s="6">
        <v>43441.392187500001</v>
      </c>
      <c r="B564" s="7" t="str">
        <f>HYPERLINK("https://twitter.com/CeideMonica","@CeideMonica")</f>
        <v>@CeideMonica</v>
      </c>
      <c r="C564" s="8" t="s">
        <v>2131</v>
      </c>
      <c r="D564" s="9" t="s">
        <v>2132</v>
      </c>
      <c r="E564" s="10" t="str">
        <f>HYPERLINK("https://twitter.com/CeideMonica/status/1070957269913952256","1070957269913952256")</f>
        <v>1070957269913952256</v>
      </c>
      <c r="F564" s="11"/>
      <c r="G564" s="16" t="s">
        <v>2133</v>
      </c>
      <c r="H564" s="11"/>
      <c r="I564" s="12">
        <v>0</v>
      </c>
      <c r="J564" s="12">
        <v>0</v>
      </c>
      <c r="K564" s="13" t="str">
        <f t="shared" ref="K564:K565" si="143">HYPERLINK("http://twitter.com/download/android","Twitter for Android")</f>
        <v>Twitter for Android</v>
      </c>
      <c r="L564" s="12">
        <v>1361</v>
      </c>
      <c r="M564" s="12">
        <v>822</v>
      </c>
      <c r="N564" s="12">
        <v>3</v>
      </c>
      <c r="O564" s="14"/>
      <c r="P564" s="6">
        <v>41705.301307870366</v>
      </c>
      <c r="Q564" s="15" t="s">
        <v>2134</v>
      </c>
      <c r="R564" s="17" t="s">
        <v>2135</v>
      </c>
      <c r="S564" s="11"/>
      <c r="T564" s="11"/>
      <c r="U564" s="10" t="str">
        <f>HYPERLINK("https://pbs.twimg.com/profile_images/1007619243234545664/k3dPfJM4.jpg","View")</f>
        <v>View</v>
      </c>
    </row>
    <row r="565" spans="1:21" ht="61.2">
      <c r="A565" s="6">
        <v>43441.390208333338</v>
      </c>
      <c r="B565" s="7" t="str">
        <f>HYPERLINK("https://twitter.com/antoRecreadicto","@antoRecreadicto")</f>
        <v>@antoRecreadicto</v>
      </c>
      <c r="C565" s="8" t="s">
        <v>2136</v>
      </c>
      <c r="D565" s="9" t="s">
        <v>2137</v>
      </c>
      <c r="E565" s="10" t="str">
        <f>HYPERLINK("https://twitter.com/antoRecreadicto/status/1070956554550169601","1070956554550169601")</f>
        <v>1070956554550169601</v>
      </c>
      <c r="F565" s="11"/>
      <c r="G565" s="11"/>
      <c r="H565" s="11"/>
      <c r="I565" s="12">
        <v>0</v>
      </c>
      <c r="J565" s="12">
        <v>1</v>
      </c>
      <c r="K565" s="13" t="str">
        <f t="shared" si="143"/>
        <v>Twitter for Android</v>
      </c>
      <c r="L565" s="12">
        <v>44</v>
      </c>
      <c r="M565" s="12">
        <v>74</v>
      </c>
      <c r="N565" s="12">
        <v>0</v>
      </c>
      <c r="O565" s="14"/>
      <c r="P565" s="6">
        <v>43288.839768518519</v>
      </c>
      <c r="Q565" s="11"/>
      <c r="R565" s="17" t="s">
        <v>2138</v>
      </c>
      <c r="S565" s="11"/>
      <c r="T565" s="11"/>
      <c r="U565" s="10" t="str">
        <f>HYPERLINK("https://pbs.twimg.com/profile_images/1056210025411162112/Cy4lSvIy.jpg","View")</f>
        <v>View</v>
      </c>
    </row>
    <row r="566" spans="1:21" ht="51">
      <c r="A566" s="6">
        <v>43441.389108796298</v>
      </c>
      <c r="B566" s="7" t="str">
        <f>HYPERLINK("https://twitter.com/1personadbien","@1personadbien")</f>
        <v>@1personadbien</v>
      </c>
      <c r="C566" s="8" t="s">
        <v>2139</v>
      </c>
      <c r="D566" s="9" t="s">
        <v>2140</v>
      </c>
      <c r="E566" s="10" t="str">
        <f>HYPERLINK("https://twitter.com/1personadbien/status/1070956157211168768","1070956157211168768")</f>
        <v>1070956157211168768</v>
      </c>
      <c r="F566" s="16" t="s">
        <v>2141</v>
      </c>
      <c r="G566" s="11"/>
      <c r="H566" s="11"/>
      <c r="I566" s="12">
        <v>0</v>
      </c>
      <c r="J566" s="12">
        <v>2</v>
      </c>
      <c r="K566" s="13" t="str">
        <f>HYPERLINK("http://twitter.com","Twitter Web Client")</f>
        <v>Twitter Web Client</v>
      </c>
      <c r="L566" s="12">
        <v>273</v>
      </c>
      <c r="M566" s="12">
        <v>955</v>
      </c>
      <c r="N566" s="12">
        <v>0</v>
      </c>
      <c r="O566" s="14"/>
      <c r="P566" s="6">
        <v>42701.517210648148</v>
      </c>
      <c r="Q566" s="11"/>
      <c r="R566" s="17" t="s">
        <v>2142</v>
      </c>
      <c r="S566" s="11"/>
      <c r="T566" s="11"/>
      <c r="U566" s="10" t="str">
        <f>HYPERLINK("https://pbs.twimg.com/profile_images/805014108777156608/NJgaDeir.jpg","View")</f>
        <v>View</v>
      </c>
    </row>
    <row r="567" spans="1:21" ht="40.799999999999997">
      <c r="A567" s="6">
        <v>43441.387523148151</v>
      </c>
      <c r="B567" s="7" t="str">
        <f>HYPERLINK("https://twitter.com/jlacambra","@jlacambra")</f>
        <v>@jlacambra</v>
      </c>
      <c r="C567" s="8" t="s">
        <v>2143</v>
      </c>
      <c r="D567" s="9" t="s">
        <v>2144</v>
      </c>
      <c r="E567" s="10" t="str">
        <f>HYPERLINK("https://twitter.com/jlacambra/status/1070955582830596096","1070955582830596096")</f>
        <v>1070955582830596096</v>
      </c>
      <c r="F567" s="11"/>
      <c r="G567" s="11"/>
      <c r="H567" s="11"/>
      <c r="I567" s="12">
        <v>0</v>
      </c>
      <c r="J567" s="12">
        <v>0</v>
      </c>
      <c r="K567" s="13" t="str">
        <f>HYPERLINK("http://twitter.com/download/android","Twitter for Android")</f>
        <v>Twitter for Android</v>
      </c>
      <c r="L567" s="12">
        <v>175</v>
      </c>
      <c r="M567" s="12">
        <v>75</v>
      </c>
      <c r="N567" s="12">
        <v>12</v>
      </c>
      <c r="O567" s="14"/>
      <c r="P567" s="6">
        <v>40197.039155092592</v>
      </c>
      <c r="Q567" s="15" t="s">
        <v>2145</v>
      </c>
      <c r="R567" s="17" t="s">
        <v>2146</v>
      </c>
      <c r="S567" s="11"/>
      <c r="T567" s="11"/>
      <c r="U567" s="10" t="str">
        <f>HYPERLINK("https://pbs.twimg.com/profile_images/1041115426086891520/hWHtUNPo.jpg","View")</f>
        <v>View</v>
      </c>
    </row>
    <row r="568" spans="1:21" ht="30.6">
      <c r="A568" s="6">
        <v>43441.38658564815</v>
      </c>
      <c r="B568" s="7" t="str">
        <f>HYPERLINK("https://twitter.com/PRojoBarreno","@PRojoBarreno")</f>
        <v>@PRojoBarreno</v>
      </c>
      <c r="C568" s="8" t="s">
        <v>2147</v>
      </c>
      <c r="D568" s="9" t="s">
        <v>2148</v>
      </c>
      <c r="E568" s="10" t="str">
        <f>HYPERLINK("https://twitter.com/PRojoBarreno/status/1070955242584444928","1070955242584444928")</f>
        <v>1070955242584444928</v>
      </c>
      <c r="F568" s="16" t="s">
        <v>778</v>
      </c>
      <c r="G568" s="11"/>
      <c r="H568" s="11"/>
      <c r="I568" s="12">
        <v>1</v>
      </c>
      <c r="J568" s="12">
        <v>1</v>
      </c>
      <c r="K568" s="13" t="str">
        <f>HYPERLINK("http://twitter.com","Twitter Web Client")</f>
        <v>Twitter Web Client</v>
      </c>
      <c r="L568" s="12">
        <v>250</v>
      </c>
      <c r="M568" s="12">
        <v>882</v>
      </c>
      <c r="N568" s="12">
        <v>1</v>
      </c>
      <c r="O568" s="14"/>
      <c r="P568" s="6">
        <v>41455.516296296293</v>
      </c>
      <c r="Q568" s="11"/>
      <c r="R568" s="17" t="s">
        <v>2149</v>
      </c>
      <c r="S568" s="16" t="s">
        <v>2150</v>
      </c>
      <c r="T568" s="11"/>
      <c r="U568" s="10" t="str">
        <f>HYPERLINK("https://pbs.twimg.com/profile_images/378800000067426541/577eafab53ebd8d18f48383af38db1f3.jpeg","View")</f>
        <v>View</v>
      </c>
    </row>
    <row r="569" spans="1:21" ht="30.6">
      <c r="A569" s="6">
        <v>43441.386365740742</v>
      </c>
      <c r="B569" s="7" t="str">
        <f>HYPERLINK("https://twitter.com/Xurxo08063601","@Xurxo08063601")</f>
        <v>@Xurxo08063601</v>
      </c>
      <c r="C569" s="8" t="s">
        <v>2151</v>
      </c>
      <c r="D569" s="9" t="s">
        <v>2152</v>
      </c>
      <c r="E569" s="10" t="str">
        <f>HYPERLINK("https://twitter.com/Xurxo08063601/status/1070955162318094337","1070955162318094337")</f>
        <v>1070955162318094337</v>
      </c>
      <c r="F569" s="11"/>
      <c r="G569" s="16" t="s">
        <v>2153</v>
      </c>
      <c r="H569" s="11"/>
      <c r="I569" s="12">
        <v>1</v>
      </c>
      <c r="J569" s="12">
        <v>1</v>
      </c>
      <c r="K569" s="13" t="str">
        <f t="shared" ref="K569:K570" si="144">HYPERLINK("http://twitter.com/download/android","Twitter for Android")</f>
        <v>Twitter for Android</v>
      </c>
      <c r="L569" s="12">
        <v>13</v>
      </c>
      <c r="M569" s="12">
        <v>31</v>
      </c>
      <c r="N569" s="12">
        <v>0</v>
      </c>
      <c r="O569" s="14"/>
      <c r="P569" s="6">
        <v>43438.864108796297</v>
      </c>
      <c r="Q569" s="15" t="s">
        <v>2154</v>
      </c>
      <c r="R569" s="17" t="s">
        <v>2155</v>
      </c>
      <c r="S569" s="11"/>
      <c r="T569" s="11"/>
      <c r="U569" s="10" t="str">
        <f>HYPERLINK("https://pbs.twimg.com/profile_images/1070042473878249473/6M0pBtd7.jpg","View")</f>
        <v>View</v>
      </c>
    </row>
    <row r="570" spans="1:21" ht="13.2">
      <c r="A570" s="6">
        <v>43441.383587962962</v>
      </c>
      <c r="B570" s="7" t="str">
        <f>HYPERLINK("https://twitter.com/chechurecuero","@chechurecuero")</f>
        <v>@chechurecuero</v>
      </c>
      <c r="C570" s="8" t="s">
        <v>2156</v>
      </c>
      <c r="D570" s="9" t="s">
        <v>2157</v>
      </c>
      <c r="E570" s="10" t="str">
        <f>HYPERLINK("https://twitter.com/chechurecuero/status/1070954154087145472","1070954154087145472")</f>
        <v>1070954154087145472</v>
      </c>
      <c r="F570" s="11"/>
      <c r="G570" s="11"/>
      <c r="H570" s="11"/>
      <c r="I570" s="12">
        <v>1</v>
      </c>
      <c r="J570" s="12">
        <v>2</v>
      </c>
      <c r="K570" s="13" t="str">
        <f t="shared" si="144"/>
        <v>Twitter for Android</v>
      </c>
      <c r="L570" s="12">
        <v>204</v>
      </c>
      <c r="M570" s="12">
        <v>299</v>
      </c>
      <c r="N570" s="12">
        <v>9</v>
      </c>
      <c r="O570" s="14"/>
      <c r="P570" s="6">
        <v>40724.765868055554</v>
      </c>
      <c r="Q570" s="15" t="s">
        <v>185</v>
      </c>
      <c r="R570" s="17" t="s">
        <v>2158</v>
      </c>
      <c r="S570" s="11"/>
      <c r="T570" s="11"/>
      <c r="U570" s="10" t="str">
        <f>HYPERLINK("https://pbs.twimg.com/profile_images/974596508900384770/OEWPzD7n.jpg","View")</f>
        <v>View</v>
      </c>
    </row>
    <row r="571" spans="1:21" ht="30.6">
      <c r="A571" s="6">
        <v>43441.383136574077</v>
      </c>
      <c r="B571" s="7" t="str">
        <f>HYPERLINK("https://twitter.com/triplef31","@triplef31")</f>
        <v>@triplef31</v>
      </c>
      <c r="C571" s="8" t="s">
        <v>2159</v>
      </c>
      <c r="D571" s="9" t="s">
        <v>2160</v>
      </c>
      <c r="E571" s="10" t="str">
        <f>HYPERLINK("https://twitter.com/triplef31/status/1070953991511654400","1070953991511654400")</f>
        <v>1070953991511654400</v>
      </c>
      <c r="F571" s="16" t="s">
        <v>2161</v>
      </c>
      <c r="G571" s="11"/>
      <c r="H571" s="11"/>
      <c r="I571" s="12">
        <v>0</v>
      </c>
      <c r="J571" s="12">
        <v>0</v>
      </c>
      <c r="K571" s="13" t="str">
        <f t="shared" ref="K571:K572" si="145">HYPERLINK("http://twitter.com","Twitter Web Client")</f>
        <v>Twitter Web Client</v>
      </c>
      <c r="L571" s="12">
        <v>59</v>
      </c>
      <c r="M571" s="12">
        <v>290</v>
      </c>
      <c r="N571" s="12">
        <v>13</v>
      </c>
      <c r="O571" s="14"/>
      <c r="P571" s="6">
        <v>41790.687430555554</v>
      </c>
      <c r="Q571" s="15" t="s">
        <v>872</v>
      </c>
      <c r="R571" s="17" t="s">
        <v>2162</v>
      </c>
      <c r="S571" s="11"/>
      <c r="T571" s="11"/>
      <c r="U571" s="10" t="str">
        <f>HYPERLINK("https://pbs.twimg.com/profile_images/472748824146870272/SpSXML1o.jpeg","View")</f>
        <v>View</v>
      </c>
    </row>
    <row r="572" spans="1:21" ht="51">
      <c r="A572" s="6">
        <v>43441.381041666667</v>
      </c>
      <c r="B572" s="7" t="str">
        <f>HYPERLINK("https://twitter.com/diariobalear_es","@diariobalear_es")</f>
        <v>@diariobalear_es</v>
      </c>
      <c r="C572" s="8" t="s">
        <v>2163</v>
      </c>
      <c r="D572" s="9" t="s">
        <v>2164</v>
      </c>
      <c r="E572" s="10" t="str">
        <f>HYPERLINK("https://twitter.com/diariobalear_es/status/1070953229960298496","1070953229960298496")</f>
        <v>1070953229960298496</v>
      </c>
      <c r="F572" s="16" t="s">
        <v>2165</v>
      </c>
      <c r="G572" s="11"/>
      <c r="H572" s="11"/>
      <c r="I572" s="12">
        <v>9</v>
      </c>
      <c r="J572" s="12">
        <v>11</v>
      </c>
      <c r="K572" s="13" t="str">
        <f t="shared" si="145"/>
        <v>Twitter Web Client</v>
      </c>
      <c r="L572" s="12">
        <v>3223</v>
      </c>
      <c r="M572" s="12">
        <v>347</v>
      </c>
      <c r="N572" s="12">
        <v>71</v>
      </c>
      <c r="O572" s="14"/>
      <c r="P572" s="6">
        <v>41694.754687499997</v>
      </c>
      <c r="Q572" s="15" t="s">
        <v>2166</v>
      </c>
      <c r="R572" s="17" t="s">
        <v>2167</v>
      </c>
      <c r="S572" s="16" t="s">
        <v>2168</v>
      </c>
      <c r="T572" s="11"/>
      <c r="U572" s="10" t="str">
        <f>HYPERLINK("https://pbs.twimg.com/profile_images/992417277797597184/28OVRjFF.jpg","View")</f>
        <v>View</v>
      </c>
    </row>
    <row r="573" spans="1:21" ht="40.799999999999997">
      <c r="A573" s="6">
        <v>43441.373726851853</v>
      </c>
      <c r="B573" s="7" t="str">
        <f>HYPERLINK("https://twitter.com/ValkyriaBrunhil","@ValkyriaBrunhil")</f>
        <v>@ValkyriaBrunhil</v>
      </c>
      <c r="C573" s="8" t="s">
        <v>2169</v>
      </c>
      <c r="D573" s="9" t="s">
        <v>2170</v>
      </c>
      <c r="E573" s="10" t="str">
        <f>HYPERLINK("https://twitter.com/ValkyriaBrunhil/status/1070950582381359105","1070950582381359105")</f>
        <v>1070950582381359105</v>
      </c>
      <c r="F573" s="16" t="s">
        <v>126</v>
      </c>
      <c r="G573" s="16" t="s">
        <v>127</v>
      </c>
      <c r="H573" s="11"/>
      <c r="I573" s="12">
        <v>0</v>
      </c>
      <c r="J573" s="12">
        <v>0</v>
      </c>
      <c r="K573" s="13" t="str">
        <f>HYPERLINK("http://twitter.com/download/android","Twitter for Android")</f>
        <v>Twitter for Android</v>
      </c>
      <c r="L573" s="12">
        <v>799</v>
      </c>
      <c r="M573" s="12">
        <v>2497</v>
      </c>
      <c r="N573" s="12">
        <v>3</v>
      </c>
      <c r="O573" s="14"/>
      <c r="P573" s="6">
        <v>43045.615162037036</v>
      </c>
      <c r="Q573" s="15" t="s">
        <v>2171</v>
      </c>
      <c r="R573" s="17" t="s">
        <v>2172</v>
      </c>
      <c r="S573" s="11"/>
      <c r="T573" s="11"/>
      <c r="U573" s="10" t="str">
        <f>HYPERLINK("https://pbs.twimg.com/profile_images/1069614622796390401/SM6SUIFj.jpg","View")</f>
        <v>View</v>
      </c>
    </row>
    <row r="574" spans="1:21" ht="51">
      <c r="A574" s="6">
        <v>43441.367372685185</v>
      </c>
      <c r="B574" s="7" t="str">
        <f>HYPERLINK("https://twitter.com/BofaroulfoFO","@BofaroulfoFO")</f>
        <v>@BofaroulfoFO</v>
      </c>
      <c r="C574" s="8" t="s">
        <v>2173</v>
      </c>
      <c r="D574" s="9" t="s">
        <v>2174</v>
      </c>
      <c r="E574" s="10" t="str">
        <f>HYPERLINK("https://twitter.com/BofaroulfoFO/status/1070948277506506752","1070948277506506752")</f>
        <v>1070948277506506752</v>
      </c>
      <c r="F574" s="16" t="s">
        <v>763</v>
      </c>
      <c r="G574" s="16" t="s">
        <v>764</v>
      </c>
      <c r="H574" s="11"/>
      <c r="I574" s="12">
        <v>0</v>
      </c>
      <c r="J574" s="12">
        <v>0</v>
      </c>
      <c r="K574" s="13" t="str">
        <f>HYPERLINK("http://twitter.com/#!/download/ipad","Twitter for iPad")</f>
        <v>Twitter for iPad</v>
      </c>
      <c r="L574" s="12">
        <v>99</v>
      </c>
      <c r="M574" s="12">
        <v>150</v>
      </c>
      <c r="N574" s="12">
        <v>1</v>
      </c>
      <c r="O574" s="14"/>
      <c r="P574" s="6">
        <v>41525.512233796297</v>
      </c>
      <c r="Q574" s="15" t="s">
        <v>185</v>
      </c>
      <c r="R574" s="17" t="s">
        <v>2175</v>
      </c>
      <c r="S574" s="11"/>
      <c r="T574" s="11"/>
      <c r="U574" s="10" t="str">
        <f>HYPERLINK("https://pbs.twimg.com/profile_images/1059417789168001024/GOcjw4U9.jpg","View")</f>
        <v>View</v>
      </c>
    </row>
    <row r="575" spans="1:21" ht="40.799999999999997">
      <c r="A575" s="6">
        <v>43441.366608796292</v>
      </c>
      <c r="B575" s="7" t="str">
        <f>HYPERLINK("https://twitter.com/InmaGCosio","@InmaGCosio")</f>
        <v>@InmaGCosio</v>
      </c>
      <c r="C575" s="8" t="s">
        <v>2176</v>
      </c>
      <c r="D575" s="9" t="s">
        <v>2177</v>
      </c>
      <c r="E575" s="10" t="str">
        <f>HYPERLINK("https://twitter.com/InmaGCosio/status/1070948000661417986","1070948000661417986")</f>
        <v>1070948000661417986</v>
      </c>
      <c r="F575" s="16" t="s">
        <v>2178</v>
      </c>
      <c r="G575" s="11"/>
      <c r="H575" s="11"/>
      <c r="I575" s="12">
        <v>0</v>
      </c>
      <c r="J575" s="12">
        <v>0</v>
      </c>
      <c r="K575" s="13" t="str">
        <f>HYPERLINK("http://twitter.com/download/iphone","Twitter for iPhone")</f>
        <v>Twitter for iPhone</v>
      </c>
      <c r="L575" s="12">
        <v>897</v>
      </c>
      <c r="M575" s="12">
        <v>941</v>
      </c>
      <c r="N575" s="12">
        <v>37</v>
      </c>
      <c r="O575" s="14"/>
      <c r="P575" s="6">
        <v>40480.772141203706</v>
      </c>
      <c r="Q575" s="15" t="s">
        <v>2179</v>
      </c>
      <c r="R575" s="17" t="s">
        <v>2180</v>
      </c>
      <c r="S575" s="11"/>
      <c r="T575" s="11"/>
      <c r="U575" s="10" t="str">
        <f>HYPERLINK("https://pbs.twimg.com/profile_images/877266284530069506/6fQzdGb2.jpg","View")</f>
        <v>View</v>
      </c>
    </row>
    <row r="576" spans="1:21" ht="40.799999999999997">
      <c r="A576" s="6">
        <v>43441.365775462968</v>
      </c>
      <c r="B576" s="7" t="str">
        <f>HYPERLINK("https://twitter.com/chuan49","@chuan49")</f>
        <v>@chuan49</v>
      </c>
      <c r="C576" s="8" t="s">
        <v>2181</v>
      </c>
      <c r="D576" s="9" t="s">
        <v>2182</v>
      </c>
      <c r="E576" s="10" t="str">
        <f>HYPERLINK("https://twitter.com/chuan49/status/1070947701532057600","1070947701532057600")</f>
        <v>1070947701532057600</v>
      </c>
      <c r="F576" s="16" t="s">
        <v>126</v>
      </c>
      <c r="G576" s="16" t="s">
        <v>127</v>
      </c>
      <c r="H576" s="11"/>
      <c r="I576" s="12">
        <v>0</v>
      </c>
      <c r="J576" s="12">
        <v>0</v>
      </c>
      <c r="K576" s="13" t="str">
        <f>HYPERLINK("http://twitter.com/download/android","Twitter for Android")</f>
        <v>Twitter for Android</v>
      </c>
      <c r="L576" s="12">
        <v>161</v>
      </c>
      <c r="M576" s="12">
        <v>160</v>
      </c>
      <c r="N576" s="12">
        <v>1</v>
      </c>
      <c r="O576" s="14"/>
      <c r="P576" s="6">
        <v>40839.799768518518</v>
      </c>
      <c r="Q576" s="15" t="s">
        <v>2183</v>
      </c>
      <c r="R576" s="18"/>
      <c r="S576" s="11"/>
      <c r="T576" s="11"/>
      <c r="U576" s="10" t="str">
        <f>HYPERLINK("https://pbs.twimg.com/profile_images/1685568550/92c1pog7","View")</f>
        <v>View</v>
      </c>
    </row>
    <row r="577" spans="1:21" ht="102">
      <c r="A577" s="6">
        <v>43441.361180555556</v>
      </c>
      <c r="B577" s="7" t="str">
        <f>HYPERLINK("https://twitter.com/Hipocresiaroja","@Hipocresiaroja")</f>
        <v>@Hipocresiaroja</v>
      </c>
      <c r="C577" s="8" t="s">
        <v>2184</v>
      </c>
      <c r="D577" s="9" t="s">
        <v>2185</v>
      </c>
      <c r="E577" s="10" t="str">
        <f>HYPERLINK("https://twitter.com/Hipocresiaroja/status/1070946034325614592","1070946034325614592")</f>
        <v>1070946034325614592</v>
      </c>
      <c r="F577" s="16" t="s">
        <v>2186</v>
      </c>
      <c r="G577" s="16" t="s">
        <v>2187</v>
      </c>
      <c r="H577" s="11"/>
      <c r="I577" s="12">
        <v>4</v>
      </c>
      <c r="J577" s="12">
        <v>4</v>
      </c>
      <c r="K577" s="13" t="str">
        <f>HYPERLINK("http://twitter.com/download/iphone","Twitter for iPhone")</f>
        <v>Twitter for iPhone</v>
      </c>
      <c r="L577" s="12">
        <v>5408</v>
      </c>
      <c r="M577" s="12">
        <v>547</v>
      </c>
      <c r="N577" s="12">
        <v>29</v>
      </c>
      <c r="O577" s="14"/>
      <c r="P577" s="6">
        <v>41381.782395833332</v>
      </c>
      <c r="Q577" s="11"/>
      <c r="R577" s="17" t="s">
        <v>2188</v>
      </c>
      <c r="S577" s="11"/>
      <c r="T577" s="11"/>
      <c r="U577" s="10" t="str">
        <f>HYPERLINK("https://pbs.twimg.com/profile_images/3559938496/63faf01c14d057f0a5c0d4d29ce1af49.jpeg","View")</f>
        <v>View</v>
      </c>
    </row>
    <row r="578" spans="1:21" ht="71.400000000000006">
      <c r="A578" s="6">
        <v>43441.357615740737</v>
      </c>
      <c r="B578" s="7" t="str">
        <f>HYPERLINK("https://twitter.com/radiopolla","@radiopolla")</f>
        <v>@radiopolla</v>
      </c>
      <c r="C578" s="8" t="s">
        <v>2189</v>
      </c>
      <c r="D578" s="9" t="s">
        <v>2190</v>
      </c>
      <c r="E578" s="10" t="str">
        <f>HYPERLINK("https://twitter.com/radiopolla/status/1070944741246812160","1070944741246812160")</f>
        <v>1070944741246812160</v>
      </c>
      <c r="F578" s="16" t="s">
        <v>2191</v>
      </c>
      <c r="G578" s="11"/>
      <c r="H578" s="11"/>
      <c r="I578" s="12">
        <v>7</v>
      </c>
      <c r="J578" s="12">
        <v>20</v>
      </c>
      <c r="K578" s="13" t="str">
        <f t="shared" ref="K578:K579" si="146">HYPERLINK("http://twitter.com/download/android","Twitter for Android")</f>
        <v>Twitter for Android</v>
      </c>
      <c r="L578" s="12">
        <v>9843</v>
      </c>
      <c r="M578" s="12">
        <v>10038</v>
      </c>
      <c r="N578" s="12">
        <v>12</v>
      </c>
      <c r="O578" s="14"/>
      <c r="P578" s="6">
        <v>43148.488182870366</v>
      </c>
      <c r="Q578" s="11"/>
      <c r="R578" s="17" t="s">
        <v>2192</v>
      </c>
      <c r="S578" s="11"/>
      <c r="T578" s="11"/>
      <c r="U578" s="10" t="str">
        <f>HYPERLINK("https://pbs.twimg.com/profile_images/1061255198906216449/j4iwKX5_.jpg","View")</f>
        <v>View</v>
      </c>
    </row>
    <row r="579" spans="1:21" ht="30.6">
      <c r="A579" s="6">
        <v>43441.356840277775</v>
      </c>
      <c r="B579" s="7" t="str">
        <f>HYPERLINK("https://twitter.com/garciamarin1978","@garciamarin1978")</f>
        <v>@garciamarin1978</v>
      </c>
      <c r="C579" s="8" t="s">
        <v>1864</v>
      </c>
      <c r="D579" s="9" t="s">
        <v>2193</v>
      </c>
      <c r="E579" s="10" t="str">
        <f>HYPERLINK("https://twitter.com/garciamarin1978/status/1070944461428002818","1070944461428002818")</f>
        <v>1070944461428002818</v>
      </c>
      <c r="F579" s="11"/>
      <c r="G579" s="16" t="s">
        <v>2194</v>
      </c>
      <c r="H579" s="11"/>
      <c r="I579" s="12">
        <v>0</v>
      </c>
      <c r="J579" s="12">
        <v>0</v>
      </c>
      <c r="K579" s="13" t="str">
        <f t="shared" si="146"/>
        <v>Twitter for Android</v>
      </c>
      <c r="L579" s="12">
        <v>73</v>
      </c>
      <c r="M579" s="12">
        <v>196</v>
      </c>
      <c r="N579" s="12">
        <v>0</v>
      </c>
      <c r="O579" s="14"/>
      <c r="P579" s="6">
        <v>41107.414606481485</v>
      </c>
      <c r="Q579" s="15" t="s">
        <v>90</v>
      </c>
      <c r="R579" s="17" t="s">
        <v>1867</v>
      </c>
      <c r="S579" s="11"/>
      <c r="T579" s="11"/>
      <c r="U579" s="10" t="str">
        <f>HYPERLINK("https://pbs.twimg.com/profile_images/1018447455145295872/q_usnLMH.jpg","View")</f>
        <v>View</v>
      </c>
    </row>
    <row r="580" spans="1:21" ht="102">
      <c r="A580" s="6">
        <v>43441.351863425924</v>
      </c>
      <c r="B580" s="7" t="str">
        <f>HYPERLINK("https://twitter.com/hermanntertsch","@hermanntertsch")</f>
        <v>@hermanntertsch</v>
      </c>
      <c r="C580" s="8" t="s">
        <v>2195</v>
      </c>
      <c r="D580" s="9" t="s">
        <v>2196</v>
      </c>
      <c r="E580" s="10" t="str">
        <f>HYPERLINK("https://twitter.com/hermanntertsch/status/1070942660158984193","1070942660158984193")</f>
        <v>1070942660158984193</v>
      </c>
      <c r="F580" s="16" t="s">
        <v>2197</v>
      </c>
      <c r="G580" s="11"/>
      <c r="H580" s="11"/>
      <c r="I580" s="12">
        <v>88</v>
      </c>
      <c r="J580" s="12">
        <v>137</v>
      </c>
      <c r="K580" s="13" t="str">
        <f>HYPERLINK("http://twitter.com/download/iphone","Twitter for iPhone")</f>
        <v>Twitter for iPhone</v>
      </c>
      <c r="L580" s="12">
        <v>127750</v>
      </c>
      <c r="M580" s="12">
        <v>3122</v>
      </c>
      <c r="N580" s="12">
        <v>2138</v>
      </c>
      <c r="O580" s="14"/>
      <c r="P580" s="6">
        <v>40599.27952546296</v>
      </c>
      <c r="Q580" s="11"/>
      <c r="R580" s="17" t="s">
        <v>2198</v>
      </c>
      <c r="S580" s="11"/>
      <c r="T580" s="11"/>
      <c r="U580" s="10" t="str">
        <f>HYPERLINK("https://pbs.twimg.com/profile_images/857488336243576833/VZ0sdsQO.jpg","View")</f>
        <v>View</v>
      </c>
    </row>
    <row r="581" spans="1:21" ht="40.799999999999997">
      <c r="A581" s="6">
        <v>43441.350810185184</v>
      </c>
      <c r="B581" s="7" t="str">
        <f>HYPERLINK("https://twitter.com/jemahuja","@jemahuja")</f>
        <v>@jemahuja</v>
      </c>
      <c r="C581" s="8" t="s">
        <v>488</v>
      </c>
      <c r="D581" s="9" t="s">
        <v>2199</v>
      </c>
      <c r="E581" s="10" t="str">
        <f>HYPERLINK("https://twitter.com/jemahuja/status/1070942275717554176","1070942275717554176")</f>
        <v>1070942275717554176</v>
      </c>
      <c r="F581" s="16" t="s">
        <v>1743</v>
      </c>
      <c r="G581" s="11"/>
      <c r="H581" s="11"/>
      <c r="I581" s="12">
        <v>1</v>
      </c>
      <c r="J581" s="12">
        <v>1</v>
      </c>
      <c r="K581" s="13" t="str">
        <f>HYPERLINK("http://www.facebook.com/twitter","Facebook")</f>
        <v>Facebook</v>
      </c>
      <c r="L581" s="12">
        <v>4865</v>
      </c>
      <c r="M581" s="12">
        <v>5077</v>
      </c>
      <c r="N581" s="12">
        <v>69</v>
      </c>
      <c r="O581" s="14"/>
      <c r="P581" s="6">
        <v>40624.647256944445</v>
      </c>
      <c r="Q581" s="11"/>
      <c r="R581" s="17" t="s">
        <v>491</v>
      </c>
      <c r="S581" s="16" t="s">
        <v>492</v>
      </c>
      <c r="T581" s="11"/>
      <c r="U581" s="10" t="str">
        <f>HYPERLINK("https://pbs.twimg.com/profile_images/979014863442907137/Qus9jozf.jpg","View")</f>
        <v>View</v>
      </c>
    </row>
    <row r="582" spans="1:21" ht="40.799999999999997">
      <c r="A582" s="6">
        <v>43441.349849537037</v>
      </c>
      <c r="B582" s="7" t="str">
        <f>HYPERLINK("https://twitter.com/chequevara_","@chequevara_")</f>
        <v>@chequevara_</v>
      </c>
      <c r="C582" s="8" t="s">
        <v>2200</v>
      </c>
      <c r="D582" s="9" t="s">
        <v>2201</v>
      </c>
      <c r="E582" s="10" t="str">
        <f>HYPERLINK("https://twitter.com/chequevara_/status/1070941929460916224","1070941929460916224")</f>
        <v>1070941929460916224</v>
      </c>
      <c r="F582" s="11"/>
      <c r="G582" s="16" t="s">
        <v>2202</v>
      </c>
      <c r="H582" s="11"/>
      <c r="I582" s="12">
        <v>1</v>
      </c>
      <c r="J582" s="12">
        <v>5</v>
      </c>
      <c r="K582" s="13" t="str">
        <f>HYPERLINK("http://twitter.com/download/android","Twitter for Android")</f>
        <v>Twitter for Android</v>
      </c>
      <c r="L582" s="12">
        <v>2656</v>
      </c>
      <c r="M582" s="12">
        <v>228</v>
      </c>
      <c r="N582" s="12">
        <v>15</v>
      </c>
      <c r="O582" s="14"/>
      <c r="P582" s="6">
        <v>42374.437905092593</v>
      </c>
      <c r="Q582" s="11"/>
      <c r="R582" s="17" t="s">
        <v>2203</v>
      </c>
      <c r="S582" s="11"/>
      <c r="T582" s="11"/>
      <c r="U582" s="10" t="str">
        <f>HYPERLINK("https://pbs.twimg.com/profile_images/957294038817951745/cEoYtoL8.jpg","View")</f>
        <v>View</v>
      </c>
    </row>
    <row r="583" spans="1:21" ht="51">
      <c r="A583" s="6">
        <v>43441.349606481483</v>
      </c>
      <c r="B583" s="7" t="str">
        <f>HYPERLINK("https://twitter.com/OscarJugon","@OscarJugon")</f>
        <v>@OscarJugon</v>
      </c>
      <c r="C583" s="8" t="s">
        <v>1593</v>
      </c>
      <c r="D583" s="9" t="s">
        <v>2204</v>
      </c>
      <c r="E583" s="10" t="str">
        <f>HYPERLINK("https://twitter.com/OscarJugon/status/1070941840420032512","1070941840420032512")</f>
        <v>1070941840420032512</v>
      </c>
      <c r="F583" s="15" t="s">
        <v>2205</v>
      </c>
      <c r="G583" s="11"/>
      <c r="H583" s="11"/>
      <c r="I583" s="12">
        <v>0</v>
      </c>
      <c r="J583" s="12">
        <v>1</v>
      </c>
      <c r="K583" s="13" t="str">
        <f>HYPERLINK("https://mobile.twitter.com","Twitter Lite")</f>
        <v>Twitter Lite</v>
      </c>
      <c r="L583" s="12">
        <v>805</v>
      </c>
      <c r="M583" s="12">
        <v>1889</v>
      </c>
      <c r="N583" s="12">
        <v>24</v>
      </c>
      <c r="O583" s="14"/>
      <c r="P583" s="6">
        <v>40690.458136574074</v>
      </c>
      <c r="Q583" s="11"/>
      <c r="R583" s="18"/>
      <c r="S583" s="16" t="s">
        <v>1595</v>
      </c>
      <c r="T583" s="11"/>
      <c r="U583" s="10" t="str">
        <f>HYPERLINK("https://pbs.twimg.com/profile_images/983027444671303682/J232Uene.jpg","View")</f>
        <v>View</v>
      </c>
    </row>
    <row r="584" spans="1:21" ht="61.2">
      <c r="A584" s="6">
        <v>43441.342812499999</v>
      </c>
      <c r="B584" s="7" t="str">
        <f>HYPERLINK("https://twitter.com/leonardobecr","@leonardobecr")</f>
        <v>@leonardobecr</v>
      </c>
      <c r="C584" s="8" t="s">
        <v>2206</v>
      </c>
      <c r="D584" s="9" t="s">
        <v>2207</v>
      </c>
      <c r="E584" s="10" t="str">
        <f>HYPERLINK("https://twitter.com/leonardobecr/status/1070939376534855680","1070939376534855680")</f>
        <v>1070939376534855680</v>
      </c>
      <c r="F584" s="16" t="s">
        <v>1143</v>
      </c>
      <c r="G584" s="16" t="s">
        <v>1144</v>
      </c>
      <c r="H584" s="11"/>
      <c r="I584" s="12">
        <v>0</v>
      </c>
      <c r="J584" s="12">
        <v>3</v>
      </c>
      <c r="K584" s="13" t="str">
        <f>HYPERLINK("http://twitter.com/download/iphone","Twitter for iPhone")</f>
        <v>Twitter for iPhone</v>
      </c>
      <c r="L584" s="12">
        <v>2567</v>
      </c>
      <c r="M584" s="12">
        <v>1026</v>
      </c>
      <c r="N584" s="12">
        <v>33</v>
      </c>
      <c r="O584" s="14"/>
      <c r="P584" s="6">
        <v>41564.68608796296</v>
      </c>
      <c r="Q584" s="15" t="s">
        <v>2208</v>
      </c>
      <c r="R584" s="17" t="s">
        <v>2209</v>
      </c>
      <c r="S584" s="16" t="s">
        <v>2210</v>
      </c>
      <c r="T584" s="11"/>
      <c r="U584" s="10" t="str">
        <f>HYPERLINK("https://pbs.twimg.com/profile_images/1045908446158233600/oMQL93JS.jpg","View")</f>
        <v>View</v>
      </c>
    </row>
    <row r="585" spans="1:21" ht="51">
      <c r="A585" s="6">
        <v>43441.337997685187</v>
      </c>
      <c r="B585" s="7" t="str">
        <f>HYPERLINK("https://twitter.com/trendinaliaES","@trendinaliaES")</f>
        <v>@trendinaliaES</v>
      </c>
      <c r="C585" s="8" t="s">
        <v>653</v>
      </c>
      <c r="D585" s="9" t="s">
        <v>2211</v>
      </c>
      <c r="E585" s="10" t="str">
        <f>HYPERLINK("https://twitter.com/trendinaliaES/status/1070937632199208960","1070937632199208960")</f>
        <v>1070937632199208960</v>
      </c>
      <c r="F585" s="16" t="s">
        <v>2212</v>
      </c>
      <c r="G585" s="11"/>
      <c r="H585" s="11" t="str">
        <f>HYPERLINK("https://ctrlq.org/maps/address/#40.4203,-3.7058","Map")</f>
        <v>Map</v>
      </c>
      <c r="I585" s="12">
        <v>0</v>
      </c>
      <c r="J585" s="12">
        <v>0</v>
      </c>
      <c r="K585" s="13" t="str">
        <f>HYPERLINK("http://laconversa.com","Es Tendencia en España")</f>
        <v>Es Tendencia en España</v>
      </c>
      <c r="L585" s="12">
        <v>49257</v>
      </c>
      <c r="M585" s="12">
        <v>34</v>
      </c>
      <c r="N585" s="12">
        <v>722</v>
      </c>
      <c r="O585" s="23" t="s">
        <v>89</v>
      </c>
      <c r="P585" s="6">
        <v>41319.819074074076</v>
      </c>
      <c r="Q585" s="15" t="s">
        <v>197</v>
      </c>
      <c r="R585" s="17" t="s">
        <v>656</v>
      </c>
      <c r="S585" s="16" t="s">
        <v>657</v>
      </c>
      <c r="T585" s="11"/>
      <c r="U585" s="10" t="str">
        <f>HYPERLINK("https://pbs.twimg.com/profile_images/696485210821632000/xpdMQ_mE.png","View")</f>
        <v>View</v>
      </c>
    </row>
    <row r="586" spans="1:21" ht="40.799999999999997">
      <c r="A586" s="6">
        <v>43441.324444444443</v>
      </c>
      <c r="B586" s="7" t="str">
        <f>HYPERLINK("https://twitter.com/VOX_Velilla","@VOX_Velilla")</f>
        <v>@VOX_Velilla</v>
      </c>
      <c r="C586" s="8" t="s">
        <v>2213</v>
      </c>
      <c r="D586" s="9" t="s">
        <v>2214</v>
      </c>
      <c r="E586" s="10" t="str">
        <f>HYPERLINK("https://twitter.com/VOX_Velilla/status/1070932723525668864","1070932723525668864")</f>
        <v>1070932723525668864</v>
      </c>
      <c r="F586" s="11"/>
      <c r="G586" s="16" t="s">
        <v>2215</v>
      </c>
      <c r="H586" s="11"/>
      <c r="I586" s="12">
        <v>1</v>
      </c>
      <c r="J586" s="12">
        <v>5</v>
      </c>
      <c r="K586" s="13" t="str">
        <f>HYPERLINK("http://twitter.com/download/android","Twitter for Android")</f>
        <v>Twitter for Android</v>
      </c>
      <c r="L586" s="12">
        <v>1148</v>
      </c>
      <c r="M586" s="12">
        <v>271</v>
      </c>
      <c r="N586" s="12">
        <v>3</v>
      </c>
      <c r="O586" s="14"/>
      <c r="P586" s="6">
        <v>42849.516550925924</v>
      </c>
      <c r="Q586" s="15" t="s">
        <v>2216</v>
      </c>
      <c r="R586" s="17" t="s">
        <v>2217</v>
      </c>
      <c r="S586" s="16" t="s">
        <v>2218</v>
      </c>
      <c r="T586" s="11"/>
      <c r="U586" s="10" t="str">
        <f>HYPERLINK("https://pbs.twimg.com/profile_images/1035957065141968897/qJksjZXE.jpg","View")</f>
        <v>View</v>
      </c>
    </row>
    <row r="587" spans="1:21" ht="40.799999999999997">
      <c r="A587" s="6">
        <v>43441.311747685184</v>
      </c>
      <c r="B587" s="7" t="str">
        <f>HYPERLINK("https://twitter.com/drmerkwurdig","@drmerkwurdig")</f>
        <v>@drmerkwurdig</v>
      </c>
      <c r="C587" s="8" t="s">
        <v>2219</v>
      </c>
      <c r="D587" s="9" t="s">
        <v>2220</v>
      </c>
      <c r="E587" s="10" t="str">
        <f>HYPERLINK("https://twitter.com/drmerkwurdig/status/1070928122357444609","1070928122357444609")</f>
        <v>1070928122357444609</v>
      </c>
      <c r="F587" s="11"/>
      <c r="G587" s="16" t="s">
        <v>2221</v>
      </c>
      <c r="H587" s="11"/>
      <c r="I587" s="12">
        <v>0</v>
      </c>
      <c r="J587" s="12">
        <v>0</v>
      </c>
      <c r="K587" s="13" t="str">
        <f t="shared" ref="K587:K588" si="147">HYPERLINK("http://twitter.com/download/iphone","Twitter for iPhone")</f>
        <v>Twitter for iPhone</v>
      </c>
      <c r="L587" s="12">
        <v>188</v>
      </c>
      <c r="M587" s="12">
        <v>324</v>
      </c>
      <c r="N587" s="12">
        <v>0</v>
      </c>
      <c r="O587" s="14"/>
      <c r="P587" s="6">
        <v>43041.882754629631</v>
      </c>
      <c r="Q587" s="15" t="s">
        <v>2222</v>
      </c>
      <c r="R587" s="17" t="s">
        <v>2223</v>
      </c>
      <c r="S587" s="11"/>
      <c r="T587" s="11"/>
      <c r="U587" s="10" t="str">
        <f>HYPERLINK("https://pbs.twimg.com/profile_images/926184409392472066/VtF2Uxe4.jpg","View")</f>
        <v>View</v>
      </c>
    </row>
    <row r="588" spans="1:21" ht="81.599999999999994">
      <c r="A588" s="6">
        <v>43441.298449074078</v>
      </c>
      <c r="B588" s="7" t="str">
        <f>HYPERLINK("https://twitter.com/JuanjoAizcorbe","@JuanjoAizcorbe")</f>
        <v>@JuanjoAizcorbe</v>
      </c>
      <c r="C588" s="8" t="s">
        <v>1254</v>
      </c>
      <c r="D588" s="9" t="s">
        <v>2224</v>
      </c>
      <c r="E588" s="10" t="str">
        <f>HYPERLINK("https://twitter.com/JuanjoAizcorbe/status/1070923300040261632","1070923300040261632")</f>
        <v>1070923300040261632</v>
      </c>
      <c r="F588" s="16" t="s">
        <v>2106</v>
      </c>
      <c r="G588" s="16" t="s">
        <v>2107</v>
      </c>
      <c r="H588" s="11"/>
      <c r="I588" s="12">
        <v>1</v>
      </c>
      <c r="J588" s="12">
        <v>5</v>
      </c>
      <c r="K588" s="13" t="str">
        <f t="shared" si="147"/>
        <v>Twitter for iPhone</v>
      </c>
      <c r="L588" s="12">
        <v>339</v>
      </c>
      <c r="M588" s="12">
        <v>171</v>
      </c>
      <c r="N588" s="12">
        <v>6</v>
      </c>
      <c r="O588" s="14"/>
      <c r="P588" s="6">
        <v>41927.764456018514</v>
      </c>
      <c r="Q588" s="15" t="s">
        <v>197</v>
      </c>
      <c r="R588" s="17" t="s">
        <v>1258</v>
      </c>
      <c r="S588" s="16" t="s">
        <v>1259</v>
      </c>
      <c r="T588" s="11"/>
      <c r="U588" s="10" t="str">
        <f>HYPERLINK("https://pbs.twimg.com/profile_images/1027853784096096256/3PILgGu7.jpg","View")</f>
        <v>View</v>
      </c>
    </row>
    <row r="589" spans="1:21" ht="30.6">
      <c r="A589" s="6">
        <v>43441.298194444447</v>
      </c>
      <c r="B589" s="7" t="str">
        <f>HYPERLINK("https://twitter.com/aikitwiter","@aikitwiter")</f>
        <v>@aikitwiter</v>
      </c>
      <c r="C589" s="8" t="s">
        <v>2225</v>
      </c>
      <c r="D589" s="9" t="s">
        <v>2226</v>
      </c>
      <c r="E589" s="10" t="str">
        <f>HYPERLINK("https://twitter.com/aikitwiter/status/1070923208998686720","1070923208998686720")</f>
        <v>1070923208998686720</v>
      </c>
      <c r="F589" s="11"/>
      <c r="G589" s="16" t="s">
        <v>2227</v>
      </c>
      <c r="H589" s="11"/>
      <c r="I589" s="12">
        <v>0</v>
      </c>
      <c r="J589" s="12">
        <v>0</v>
      </c>
      <c r="K589" s="13" t="str">
        <f>HYPERLINK("http://twitter.com/download/android","Twitter for Android")</f>
        <v>Twitter for Android</v>
      </c>
      <c r="L589" s="12">
        <v>203</v>
      </c>
      <c r="M589" s="12">
        <v>61</v>
      </c>
      <c r="N589" s="12">
        <v>4</v>
      </c>
      <c r="O589" s="14"/>
      <c r="P589" s="6">
        <v>42521.63009259259</v>
      </c>
      <c r="Q589" s="15" t="s">
        <v>2228</v>
      </c>
      <c r="R589" s="17" t="s">
        <v>2229</v>
      </c>
      <c r="S589" s="11"/>
      <c r="T589" s="11"/>
      <c r="U589" s="10" t="str">
        <f>HYPERLINK("https://pbs.twimg.com/profile_images/747691348782874624/9TbgSJ95.jpg","View")</f>
        <v>View</v>
      </c>
    </row>
    <row r="590" spans="1:21" ht="40.799999999999997">
      <c r="A590" s="6">
        <v>43441.287048611106</v>
      </c>
      <c r="B590" s="7" t="str">
        <f>HYPERLINK("https://twitter.com/HammerCharlie","@HammerCharlie")</f>
        <v>@HammerCharlie</v>
      </c>
      <c r="C590" s="8" t="s">
        <v>2230</v>
      </c>
      <c r="D590" s="9" t="s">
        <v>2231</v>
      </c>
      <c r="E590" s="10" t="str">
        <f>HYPERLINK("https://twitter.com/HammerCharlie/status/1070919170643120128","1070919170643120128")</f>
        <v>1070919170643120128</v>
      </c>
      <c r="F590" s="11"/>
      <c r="G590" s="11"/>
      <c r="H590" s="11"/>
      <c r="I590" s="12">
        <v>0</v>
      </c>
      <c r="J590" s="12">
        <v>1</v>
      </c>
      <c r="K590" s="13" t="str">
        <f>HYPERLINK("http://twitter.com/download/iphone","Twitter for iPhone")</f>
        <v>Twitter for iPhone</v>
      </c>
      <c r="L590" s="12">
        <v>349</v>
      </c>
      <c r="M590" s="12">
        <v>477</v>
      </c>
      <c r="N590" s="12">
        <v>6</v>
      </c>
      <c r="O590" s="14"/>
      <c r="P590" s="6">
        <v>40627.884270833332</v>
      </c>
      <c r="Q590" s="11"/>
      <c r="R590" s="17" t="s">
        <v>2232</v>
      </c>
      <c r="S590" s="11"/>
      <c r="T590" s="11"/>
      <c r="U590" s="10" t="str">
        <f>HYPERLINK("https://pbs.twimg.com/profile_images/1039744133643075584/2eNWQ9dq.jpg","View")</f>
        <v>View</v>
      </c>
    </row>
    <row r="591" spans="1:21" ht="112.2">
      <c r="A591" s="6">
        <v>43441.276736111111</v>
      </c>
      <c r="B591" s="7" t="str">
        <f>HYPERLINK("https://twitter.com/Juan_L_Vicente","@Juan_L_Vicente")</f>
        <v>@Juan_L_Vicente</v>
      </c>
      <c r="C591" s="8" t="s">
        <v>457</v>
      </c>
      <c r="D591" s="9" t="s">
        <v>2233</v>
      </c>
      <c r="E591" s="10" t="str">
        <f>HYPERLINK("https://twitter.com/Juan_L_Vicente/status/1070915431941201920","1070915431941201920")</f>
        <v>1070915431941201920</v>
      </c>
      <c r="F591" s="15" t="s">
        <v>2234</v>
      </c>
      <c r="G591" s="11"/>
      <c r="H591" s="11"/>
      <c r="I591" s="12">
        <v>1</v>
      </c>
      <c r="J591" s="12">
        <v>1</v>
      </c>
      <c r="K591" s="13" t="str">
        <f>HYPERLINK("http://twitter.com/#!/download/ipad","Twitter for iPad")</f>
        <v>Twitter for iPad</v>
      </c>
      <c r="L591" s="12">
        <v>171</v>
      </c>
      <c r="M591" s="12">
        <v>47</v>
      </c>
      <c r="N591" s="12">
        <v>18</v>
      </c>
      <c r="O591" s="14"/>
      <c r="P591" s="6">
        <v>41102.419212962966</v>
      </c>
      <c r="Q591" s="11"/>
      <c r="R591" s="17" t="s">
        <v>460</v>
      </c>
      <c r="S591" s="11"/>
      <c r="T591" s="11"/>
      <c r="U591" s="10" t="str">
        <f>HYPERLINK("https://pbs.twimg.com/profile_images/571845006403440640/BBgqv8vP.jpeg","View")</f>
        <v>View</v>
      </c>
    </row>
    <row r="592" spans="1:21" ht="112.2">
      <c r="A592" s="6">
        <v>43441.227743055555</v>
      </c>
      <c r="B592" s="7" t="str">
        <f>HYPERLINK("https://twitter.com/riduran_p","@riduran_p")</f>
        <v>@riduran_p</v>
      </c>
      <c r="C592" s="8" t="s">
        <v>2235</v>
      </c>
      <c r="D592" s="9" t="s">
        <v>2236</v>
      </c>
      <c r="E592" s="10" t="str">
        <f>HYPERLINK("https://twitter.com/riduran_p/status/1070897678295412742","1070897678295412742")</f>
        <v>1070897678295412742</v>
      </c>
      <c r="F592" s="16" t="s">
        <v>2237</v>
      </c>
      <c r="G592" s="11"/>
      <c r="H592" s="11"/>
      <c r="I592" s="12">
        <v>3</v>
      </c>
      <c r="J592" s="12">
        <v>4</v>
      </c>
      <c r="K592" s="13" t="str">
        <f>HYPERLINK("http://twitter.com","Twitter Web Client")</f>
        <v>Twitter Web Client</v>
      </c>
      <c r="L592" s="12">
        <v>8543</v>
      </c>
      <c r="M592" s="12">
        <v>7522</v>
      </c>
      <c r="N592" s="12">
        <v>22</v>
      </c>
      <c r="O592" s="14"/>
      <c r="P592" s="6">
        <v>40678.594918981486</v>
      </c>
      <c r="Q592" s="15" t="s">
        <v>426</v>
      </c>
      <c r="R592" s="17" t="s">
        <v>2238</v>
      </c>
      <c r="S592" s="16" t="s">
        <v>2239</v>
      </c>
      <c r="T592" s="11"/>
      <c r="U592" s="10" t="str">
        <f>HYPERLINK("https://pbs.twimg.com/profile_images/972822677244272640/23HaWXad.jpg","View")</f>
        <v>View</v>
      </c>
    </row>
    <row r="593" spans="1:21" ht="51">
      <c r="A593" s="6">
        <v>43441.216226851851</v>
      </c>
      <c r="B593" s="7" t="str">
        <f>HYPERLINK("https://twitter.com/psolidaridad","@psolidaridad")</f>
        <v>@psolidaridad</v>
      </c>
      <c r="C593" s="8" t="s">
        <v>159</v>
      </c>
      <c r="D593" s="9" t="s">
        <v>2240</v>
      </c>
      <c r="E593" s="10" t="str">
        <f>HYPERLINK("https://twitter.com/psolidaridad/status/1070893504153485312","1070893504153485312")</f>
        <v>1070893504153485312</v>
      </c>
      <c r="F593" s="16" t="s">
        <v>2241</v>
      </c>
      <c r="G593" s="11"/>
      <c r="H593" s="11"/>
      <c r="I593" s="12">
        <v>0</v>
      </c>
      <c r="J593" s="12">
        <v>2</v>
      </c>
      <c r="K593" s="13" t="str">
        <f>HYPERLINK("http://twitter.com/download/android","Twitter for Android")</f>
        <v>Twitter for Android</v>
      </c>
      <c r="L593" s="12">
        <v>1623</v>
      </c>
      <c r="M593" s="12">
        <v>4841</v>
      </c>
      <c r="N593" s="12">
        <v>1</v>
      </c>
      <c r="O593" s="14"/>
      <c r="P593" s="6">
        <v>41803.502372685187</v>
      </c>
      <c r="Q593" s="11"/>
      <c r="R593" s="17" t="s">
        <v>162</v>
      </c>
      <c r="S593" s="11"/>
      <c r="T593" s="11"/>
      <c r="U593" s="10" t="str">
        <f>HYPERLINK("https://pbs.twimg.com/profile_images/1030394358397317120/oQ0F2vnz.jpg","View")</f>
        <v>View</v>
      </c>
    </row>
    <row r="594" spans="1:21" ht="91.8">
      <c r="A594" s="6">
        <v>43441.198900462958</v>
      </c>
      <c r="B594" s="7" t="str">
        <f>HYPERLINK("https://twitter.com/NoAlExpolio","@NoAlExpolio")</f>
        <v>@NoAlExpolio</v>
      </c>
      <c r="C594" s="8" t="s">
        <v>2242</v>
      </c>
      <c r="D594" s="9" t="s">
        <v>2243</v>
      </c>
      <c r="E594" s="10" t="str">
        <f>HYPERLINK("https://twitter.com/NoAlExpolio/status/1070887227872428034","1070887227872428034")</f>
        <v>1070887227872428034</v>
      </c>
      <c r="F594" s="16" t="s">
        <v>1687</v>
      </c>
      <c r="G594" s="16" t="s">
        <v>1257</v>
      </c>
      <c r="H594" s="11"/>
      <c r="I594" s="12">
        <v>1</v>
      </c>
      <c r="J594" s="12">
        <v>1</v>
      </c>
      <c r="K594" s="13" t="str">
        <f>HYPERLINK("https://mobile.twitter.com","Twitter Lite")</f>
        <v>Twitter Lite</v>
      </c>
      <c r="L594" s="12">
        <v>365</v>
      </c>
      <c r="M594" s="12">
        <v>504</v>
      </c>
      <c r="N594" s="12">
        <v>2</v>
      </c>
      <c r="O594" s="14"/>
      <c r="P594" s="6">
        <v>42941.022824074069</v>
      </c>
      <c r="Q594" s="11"/>
      <c r="R594" s="17" t="s">
        <v>2244</v>
      </c>
      <c r="S594" s="11"/>
      <c r="T594" s="11"/>
      <c r="U594" s="10" t="str">
        <f>HYPERLINK("https://pbs.twimg.com/profile_images/998018196962623488/o0byUEEw.jpg","View")</f>
        <v>View</v>
      </c>
    </row>
    <row r="595" spans="1:21" ht="40.799999999999997">
      <c r="A595" s="6">
        <v>43441.1643287037</v>
      </c>
      <c r="B595" s="7" t="str">
        <f>HYPERLINK("https://twitter.com/QuieroVotarYa","@QuieroVotarYa")</f>
        <v>@QuieroVotarYa</v>
      </c>
      <c r="C595" s="27" t="s">
        <v>2245</v>
      </c>
      <c r="D595" s="9" t="s">
        <v>2246</v>
      </c>
      <c r="E595" s="10" t="str">
        <f>HYPERLINK("https://twitter.com/QuieroVotarYa/status/1070874699104698368","1070874699104698368")</f>
        <v>1070874699104698368</v>
      </c>
      <c r="F595" s="11"/>
      <c r="G595" s="16" t="s">
        <v>2247</v>
      </c>
      <c r="H595" s="11"/>
      <c r="I595" s="12">
        <v>1</v>
      </c>
      <c r="J595" s="12">
        <v>1</v>
      </c>
      <c r="K595" s="13" t="str">
        <f>HYPERLINK("http://twitter.com","Twitter Web Client")</f>
        <v>Twitter Web Client</v>
      </c>
      <c r="L595" s="12">
        <v>6245</v>
      </c>
      <c r="M595" s="12">
        <v>5436</v>
      </c>
      <c r="N595" s="12">
        <v>44</v>
      </c>
      <c r="O595" s="14"/>
      <c r="P595" s="6">
        <v>41000.472858796296</v>
      </c>
      <c r="Q595" s="15" t="s">
        <v>2248</v>
      </c>
      <c r="R595" s="17" t="s">
        <v>2249</v>
      </c>
      <c r="S595" s="11"/>
      <c r="T595" s="11"/>
      <c r="U595" s="10" t="str">
        <f>HYPERLINK("https://pbs.twimg.com/profile_images/1067819628620058624/j8NLcPs3.jpg","View")</f>
        <v>View</v>
      </c>
    </row>
    <row r="596" spans="1:21" ht="51">
      <c r="A596" s="6">
        <v>43441.138333333336</v>
      </c>
      <c r="B596" s="7" t="str">
        <f>HYPERLINK("https://twitter.com/alxhdll","@alxhdll")</f>
        <v>@alxhdll</v>
      </c>
      <c r="C596" s="8" t="s">
        <v>2250</v>
      </c>
      <c r="D596" s="9" t="s">
        <v>2251</v>
      </c>
      <c r="E596" s="10" t="str">
        <f>HYPERLINK("https://twitter.com/alxhdll/status/1070865278056181766","1070865278056181766")</f>
        <v>1070865278056181766</v>
      </c>
      <c r="F596" s="15" t="s">
        <v>2252</v>
      </c>
      <c r="G596" s="11"/>
      <c r="H596" s="11"/>
      <c r="I596" s="12">
        <v>0</v>
      </c>
      <c r="J596" s="12">
        <v>0</v>
      </c>
      <c r="K596" s="13" t="str">
        <f>HYPERLINK("http://twitter.com/download/android","Twitter for Android")</f>
        <v>Twitter for Android</v>
      </c>
      <c r="L596" s="12">
        <v>50</v>
      </c>
      <c r="M596" s="12">
        <v>782</v>
      </c>
      <c r="N596" s="12">
        <v>1</v>
      </c>
      <c r="O596" s="14"/>
      <c r="P596" s="6">
        <v>42688.634988425925</v>
      </c>
      <c r="Q596" s="11"/>
      <c r="R596" s="18"/>
      <c r="S596" s="11"/>
      <c r="T596" s="11"/>
      <c r="U596" s="10" t="str">
        <f>HYPERLINK("https://pbs.twimg.com/profile_images/952493444534030338/QMY_9gOO.jpg","View")</f>
        <v>View</v>
      </c>
    </row>
    <row r="597" spans="1:21" ht="20.399999999999999">
      <c r="A597" s="6">
        <v>43441.128599537042</v>
      </c>
      <c r="B597" s="7" t="str">
        <f>HYPERLINK("https://twitter.com/protoidea","@protoidea")</f>
        <v>@protoidea</v>
      </c>
      <c r="C597" s="8" t="s">
        <v>2253</v>
      </c>
      <c r="D597" s="9" t="s">
        <v>1042</v>
      </c>
      <c r="E597" s="10" t="str">
        <f>HYPERLINK("https://twitter.com/protoidea/status/1070861748968849408","1070861748968849408")</f>
        <v>1070861748968849408</v>
      </c>
      <c r="F597" s="16" t="s">
        <v>1043</v>
      </c>
      <c r="G597" s="11"/>
      <c r="H597" s="11"/>
      <c r="I597" s="12">
        <v>0</v>
      </c>
      <c r="J597" s="12">
        <v>0</v>
      </c>
      <c r="K597" s="13" t="str">
        <f>HYPERLINK("https://www.google.com/","Google")</f>
        <v>Google</v>
      </c>
      <c r="L597" s="12">
        <v>135</v>
      </c>
      <c r="M597" s="12">
        <v>191</v>
      </c>
      <c r="N597" s="12">
        <v>1</v>
      </c>
      <c r="O597" s="14"/>
      <c r="P597" s="6">
        <v>41209.140509259261</v>
      </c>
      <c r="Q597" s="15" t="s">
        <v>501</v>
      </c>
      <c r="R597" s="17" t="s">
        <v>2254</v>
      </c>
      <c r="S597" s="11"/>
      <c r="T597" s="11"/>
      <c r="U597" s="10" t="str">
        <f>HYPERLINK("https://pbs.twimg.com/profile_images/1033545003212128256/BE8m7-NA.jpg","View")</f>
        <v>View</v>
      </c>
    </row>
    <row r="598" spans="1:21" ht="40.799999999999997">
      <c r="A598" s="6">
        <v>43441.112488425926</v>
      </c>
      <c r="B598" s="7" t="str">
        <f>HYPERLINK("https://twitter.com/NamruOfOrange","@NamruOfOrange")</f>
        <v>@NamruOfOrange</v>
      </c>
      <c r="C598" s="8" t="s">
        <v>2255</v>
      </c>
      <c r="D598" s="9" t="s">
        <v>2256</v>
      </c>
      <c r="E598" s="10" t="str">
        <f>HYPERLINK("https://twitter.com/NamruOfOrange/status/1070855913110732801","1070855913110732801")</f>
        <v>1070855913110732801</v>
      </c>
      <c r="F598" s="11"/>
      <c r="G598" s="11"/>
      <c r="H598" s="11"/>
      <c r="I598" s="12">
        <v>1</v>
      </c>
      <c r="J598" s="12">
        <v>4</v>
      </c>
      <c r="K598" s="13" t="str">
        <f>HYPERLINK("http://twitter.com/download/android","Twitter for Android")</f>
        <v>Twitter for Android</v>
      </c>
      <c r="L598" s="12">
        <v>132</v>
      </c>
      <c r="M598" s="12">
        <v>89</v>
      </c>
      <c r="N598" s="12">
        <v>1</v>
      </c>
      <c r="O598" s="14"/>
      <c r="P598" s="6">
        <v>43393.895219907412</v>
      </c>
      <c r="Q598" s="15" t="s">
        <v>2257</v>
      </c>
      <c r="R598" s="17" t="s">
        <v>2258</v>
      </c>
      <c r="S598" s="11"/>
      <c r="T598" s="11"/>
      <c r="U598" s="10" t="str">
        <f>HYPERLINK("https://pbs.twimg.com/profile_images/1066757029849677829/XfnWfF-z.jpg","View")</f>
        <v>View</v>
      </c>
    </row>
    <row r="599" spans="1:21" ht="40.799999999999997">
      <c r="A599" s="6">
        <v>43441.10229166667</v>
      </c>
      <c r="B599" s="7" t="str">
        <f>HYPERLINK("https://twitter.com/manstein1966","@manstein1966")</f>
        <v>@manstein1966</v>
      </c>
      <c r="C599" s="8" t="s">
        <v>2259</v>
      </c>
      <c r="D599" s="9" t="s">
        <v>2260</v>
      </c>
      <c r="E599" s="10" t="str">
        <f>HYPERLINK("https://twitter.com/manstein1966/status/1070852215735246856","1070852215735246856")</f>
        <v>1070852215735246856</v>
      </c>
      <c r="F599" s="16" t="s">
        <v>2261</v>
      </c>
      <c r="G599" s="16" t="s">
        <v>2262</v>
      </c>
      <c r="H599" s="11"/>
      <c r="I599" s="12">
        <v>1</v>
      </c>
      <c r="J599" s="12">
        <v>1</v>
      </c>
      <c r="K599" s="13" t="str">
        <f>HYPERLINK("http://twitter.com/#!/download/ipad","Twitter for iPad")</f>
        <v>Twitter for iPad</v>
      </c>
      <c r="L599" s="12">
        <v>88</v>
      </c>
      <c r="M599" s="12">
        <v>140</v>
      </c>
      <c r="N599" s="12">
        <v>9</v>
      </c>
      <c r="O599" s="14"/>
      <c r="P599" s="6">
        <v>41799.953090277777</v>
      </c>
      <c r="Q599" s="15" t="s">
        <v>2263</v>
      </c>
      <c r="R599" s="17" t="s">
        <v>2264</v>
      </c>
      <c r="S599" s="11"/>
      <c r="T599" s="11"/>
      <c r="U599" s="10" t="str">
        <f>HYPERLINK("https://pbs.twimg.com/profile_images/772111827387965440/7igdjAFl.jpg","View")</f>
        <v>View</v>
      </c>
    </row>
    <row r="600" spans="1:21" ht="40.799999999999997">
      <c r="A600" s="6">
        <v>43441.101793981477</v>
      </c>
      <c r="B600" s="7" t="str">
        <f>HYPERLINK("https://twitter.com/mrsbotwin","@mrsbotwin")</f>
        <v>@mrsbotwin</v>
      </c>
      <c r="C600" s="8" t="s">
        <v>2265</v>
      </c>
      <c r="D600" s="9" t="s">
        <v>2266</v>
      </c>
      <c r="E600" s="10" t="str">
        <f>HYPERLINK("https://twitter.com/mrsbotwin/status/1070852034197405696","1070852034197405696")</f>
        <v>1070852034197405696</v>
      </c>
      <c r="F600" s="11"/>
      <c r="G600" s="11"/>
      <c r="H600" s="11"/>
      <c r="I600" s="12">
        <v>0</v>
      </c>
      <c r="J600" s="12">
        <v>0</v>
      </c>
      <c r="K600" s="13" t="str">
        <f t="shared" ref="K600:K603" si="148">HYPERLINK("http://twitter.com/download/iphone","Twitter for iPhone")</f>
        <v>Twitter for iPhone</v>
      </c>
      <c r="L600" s="12">
        <v>194</v>
      </c>
      <c r="M600" s="12">
        <v>290</v>
      </c>
      <c r="N600" s="12">
        <v>3</v>
      </c>
      <c r="O600" s="14"/>
      <c r="P600" s="6">
        <v>40069.835960648146</v>
      </c>
      <c r="Q600" s="15" t="s">
        <v>2267</v>
      </c>
      <c r="R600" s="17" t="s">
        <v>2268</v>
      </c>
      <c r="S600" s="16" t="s">
        <v>2269</v>
      </c>
      <c r="T600" s="11"/>
      <c r="U600" s="10" t="str">
        <f>HYPERLINK("https://pbs.twimg.com/profile_images/2760689399/722e7de69100fe0d1616eb7725840759.jpeg","View")</f>
        <v>View</v>
      </c>
    </row>
    <row r="601" spans="1:21" ht="40.799999999999997">
      <c r="A601" s="6">
        <v>43441.082928240736</v>
      </c>
      <c r="B601" s="7" t="str">
        <f>HYPERLINK("https://twitter.com/Gema_Chaparro","@Gema_Chaparro")</f>
        <v>@Gema_Chaparro</v>
      </c>
      <c r="C601" s="8" t="s">
        <v>2270</v>
      </c>
      <c r="D601" s="9" t="s">
        <v>2271</v>
      </c>
      <c r="E601" s="10" t="str">
        <f>HYPERLINK("https://twitter.com/Gema_Chaparro/status/1070845198094295040","1070845198094295040")</f>
        <v>1070845198094295040</v>
      </c>
      <c r="F601" s="11"/>
      <c r="G601" s="11"/>
      <c r="H601" s="11"/>
      <c r="I601" s="12">
        <v>0</v>
      </c>
      <c r="J601" s="12">
        <v>2</v>
      </c>
      <c r="K601" s="13" t="str">
        <f t="shared" si="148"/>
        <v>Twitter for iPhone</v>
      </c>
      <c r="L601" s="12">
        <v>843</v>
      </c>
      <c r="M601" s="12">
        <v>602</v>
      </c>
      <c r="N601" s="12">
        <v>3</v>
      </c>
      <c r="O601" s="14"/>
      <c r="P601" s="6">
        <v>41032.930474537039</v>
      </c>
      <c r="Q601" s="15" t="s">
        <v>2272</v>
      </c>
      <c r="R601" s="17" t="s">
        <v>2273</v>
      </c>
      <c r="S601" s="11"/>
      <c r="T601" s="11"/>
      <c r="U601" s="10" t="str">
        <f>HYPERLINK("https://pbs.twimg.com/profile_images/839757275866759168/VSAYuUcm.jpg","View")</f>
        <v>View</v>
      </c>
    </row>
    <row r="602" spans="1:21" ht="40.799999999999997">
      <c r="A602" s="6">
        <v>43441.082835648151</v>
      </c>
      <c r="B602" s="7" t="str">
        <f>HYPERLINK("https://twitter.com/bita_arte","@bita_arte")</f>
        <v>@bita_arte</v>
      </c>
      <c r="C602" s="8" t="s">
        <v>2274</v>
      </c>
      <c r="D602" s="9" t="s">
        <v>2275</v>
      </c>
      <c r="E602" s="10" t="str">
        <f>HYPERLINK("https://twitter.com/bita_arte/status/1070845164783104000","1070845164783104000")</f>
        <v>1070845164783104000</v>
      </c>
      <c r="F602" s="15" t="s">
        <v>2276</v>
      </c>
      <c r="G602" s="16" t="s">
        <v>2277</v>
      </c>
      <c r="H602" s="11"/>
      <c r="I602" s="12">
        <v>0</v>
      </c>
      <c r="J602" s="12">
        <v>0</v>
      </c>
      <c r="K602" s="13" t="str">
        <f t="shared" si="148"/>
        <v>Twitter for iPhone</v>
      </c>
      <c r="L602" s="12">
        <v>346</v>
      </c>
      <c r="M602" s="12">
        <v>230</v>
      </c>
      <c r="N602" s="12">
        <v>9</v>
      </c>
      <c r="O602" s="14"/>
      <c r="P602" s="6">
        <v>40149.034305555557</v>
      </c>
      <c r="Q602" s="15" t="s">
        <v>612</v>
      </c>
      <c r="R602" s="17" t="s">
        <v>2278</v>
      </c>
      <c r="S602" s="16" t="s">
        <v>2279</v>
      </c>
      <c r="T602" s="11"/>
      <c r="U602" s="10" t="str">
        <f>HYPERLINK("https://pbs.twimg.com/profile_images/782020024399720448/_D7ib2o7.jpg","View")</f>
        <v>View</v>
      </c>
    </row>
    <row r="603" spans="1:21" ht="30.6">
      <c r="A603" s="6">
        <v>43441.082175925927</v>
      </c>
      <c r="B603" s="7" t="str">
        <f>HYPERLINK("https://twitter.com/rubenraedo","@rubenraedo")</f>
        <v>@rubenraedo</v>
      </c>
      <c r="C603" s="8" t="s">
        <v>2280</v>
      </c>
      <c r="D603" s="9" t="s">
        <v>2281</v>
      </c>
      <c r="E603" s="10" t="str">
        <f>HYPERLINK("https://twitter.com/rubenraedo/status/1070844925217005568","1070844925217005568")</f>
        <v>1070844925217005568</v>
      </c>
      <c r="F603" s="16" t="s">
        <v>2282</v>
      </c>
      <c r="G603" s="16" t="s">
        <v>2283</v>
      </c>
      <c r="H603" s="11"/>
      <c r="I603" s="12">
        <v>0</v>
      </c>
      <c r="J603" s="12">
        <v>0</v>
      </c>
      <c r="K603" s="13" t="str">
        <f t="shared" si="148"/>
        <v>Twitter for iPhone</v>
      </c>
      <c r="L603" s="12">
        <v>94</v>
      </c>
      <c r="M603" s="12">
        <v>160</v>
      </c>
      <c r="N603" s="12">
        <v>0</v>
      </c>
      <c r="O603" s="14"/>
      <c r="P603" s="6">
        <v>41691.583275462966</v>
      </c>
      <c r="Q603" s="11"/>
      <c r="R603" s="17" t="s">
        <v>2284</v>
      </c>
      <c r="S603" s="11"/>
      <c r="T603" s="11"/>
      <c r="U603" s="10" t="str">
        <f>HYPERLINK("https://pbs.twimg.com/profile_images/1038471911674720256/s9IAUZaU.jpg","View")</f>
        <v>View</v>
      </c>
    </row>
    <row r="604" spans="1:21" ht="61.2">
      <c r="A604" s="6">
        <v>43441.073576388888</v>
      </c>
      <c r="B604" s="7" t="str">
        <f>HYPERLINK("https://twitter.com/UlisesGamez10","@UlisesGamez10")</f>
        <v>@UlisesGamez10</v>
      </c>
      <c r="C604" s="8" t="s">
        <v>233</v>
      </c>
      <c r="D604" s="9" t="s">
        <v>2285</v>
      </c>
      <c r="E604" s="10" t="str">
        <f>HYPERLINK("https://twitter.com/UlisesGamez10/status/1070841808341618689","1070841808341618689")</f>
        <v>1070841808341618689</v>
      </c>
      <c r="F604" s="11"/>
      <c r="G604" s="11"/>
      <c r="H604" s="11"/>
      <c r="I604" s="12">
        <v>0</v>
      </c>
      <c r="J604" s="12">
        <v>0</v>
      </c>
      <c r="K604" s="13" t="str">
        <f t="shared" ref="K604:K606" si="149">HYPERLINK("http://twitter.com/download/android","Twitter for Android")</f>
        <v>Twitter for Android</v>
      </c>
      <c r="L604" s="12">
        <v>1184</v>
      </c>
      <c r="M604" s="12">
        <v>5002</v>
      </c>
      <c r="N604" s="12">
        <v>0</v>
      </c>
      <c r="O604" s="14"/>
      <c r="P604" s="6">
        <v>43190.59783564815</v>
      </c>
      <c r="Q604" s="15" t="s">
        <v>236</v>
      </c>
      <c r="R604" s="17" t="s">
        <v>237</v>
      </c>
      <c r="S604" s="11"/>
      <c r="T604" s="11"/>
      <c r="U604" s="10" t="str">
        <f>HYPERLINK("https://pbs.twimg.com/profile_images/1068881444196499456/MCgxp2WR.jpg","View")</f>
        <v>View</v>
      </c>
    </row>
    <row r="605" spans="1:21" ht="20.399999999999999">
      <c r="A605" s="6">
        <v>43441.071145833332</v>
      </c>
      <c r="B605" s="7" t="str">
        <f>HYPERLINK("https://twitter.com/ClinicalIvar","@ClinicalIvar")</f>
        <v>@ClinicalIvar</v>
      </c>
      <c r="C605" s="8" t="s">
        <v>2286</v>
      </c>
      <c r="D605" s="9" t="s">
        <v>2287</v>
      </c>
      <c r="E605" s="10" t="str">
        <f>HYPERLINK("https://twitter.com/ClinicalIvar/status/1070840929974665216","1070840929974665216")</f>
        <v>1070840929974665216</v>
      </c>
      <c r="F605" s="11"/>
      <c r="G605" s="11"/>
      <c r="H605" s="11"/>
      <c r="I605" s="12">
        <v>0</v>
      </c>
      <c r="J605" s="12">
        <v>0</v>
      </c>
      <c r="K605" s="13" t="str">
        <f t="shared" si="149"/>
        <v>Twitter for Android</v>
      </c>
      <c r="L605" s="12">
        <v>215</v>
      </c>
      <c r="M605" s="12">
        <v>193</v>
      </c>
      <c r="N605" s="12">
        <v>1</v>
      </c>
      <c r="O605" s="14"/>
      <c r="P605" s="6">
        <v>43091.755254629628</v>
      </c>
      <c r="Q605" s="15" t="s">
        <v>2288</v>
      </c>
      <c r="R605" s="17" t="s">
        <v>2289</v>
      </c>
      <c r="S605" s="11"/>
      <c r="T605" s="11"/>
      <c r="U605" s="10" t="str">
        <f>HYPERLINK("https://pbs.twimg.com/profile_images/1070816567158546435/Gm_pQw98.jpg","View")</f>
        <v>View</v>
      </c>
    </row>
    <row r="606" spans="1:21" ht="61.2">
      <c r="A606" s="6">
        <v>43441.065578703703</v>
      </c>
      <c r="B606" s="7" t="str">
        <f>HYPERLINK("https://twitter.com/UlisesGamez10","@UlisesGamez10")</f>
        <v>@UlisesGamez10</v>
      </c>
      <c r="C606" s="8" t="s">
        <v>233</v>
      </c>
      <c r="D606" s="9" t="s">
        <v>2290</v>
      </c>
      <c r="E606" s="10" t="str">
        <f>HYPERLINK("https://twitter.com/UlisesGamez10/status/1070838912652845056","1070838912652845056")</f>
        <v>1070838912652845056</v>
      </c>
      <c r="F606" s="11"/>
      <c r="G606" s="11"/>
      <c r="H606" s="11"/>
      <c r="I606" s="12">
        <v>1</v>
      </c>
      <c r="J606" s="12">
        <v>2</v>
      </c>
      <c r="K606" s="13" t="str">
        <f t="shared" si="149"/>
        <v>Twitter for Android</v>
      </c>
      <c r="L606" s="12">
        <v>1184</v>
      </c>
      <c r="M606" s="12">
        <v>5002</v>
      </c>
      <c r="N606" s="12">
        <v>0</v>
      </c>
      <c r="O606" s="14"/>
      <c r="P606" s="6">
        <v>43190.59783564815</v>
      </c>
      <c r="Q606" s="15" t="s">
        <v>236</v>
      </c>
      <c r="R606" s="17" t="s">
        <v>237</v>
      </c>
      <c r="S606" s="11"/>
      <c r="T606" s="11"/>
      <c r="U606" s="10" t="str">
        <f>HYPERLINK("https://pbs.twimg.com/profile_images/1068881444196499456/MCgxp2WR.jpg","View")</f>
        <v>View</v>
      </c>
    </row>
    <row r="607" spans="1:21" ht="40.799999999999997">
      <c r="A607" s="6">
        <v>43441.063425925924</v>
      </c>
      <c r="B607" s="7" t="str">
        <f>HYPERLINK("https://twitter.com/amorillahidalgo","@amorillahidalgo")</f>
        <v>@amorillahidalgo</v>
      </c>
      <c r="C607" s="8" t="s">
        <v>345</v>
      </c>
      <c r="D607" s="9" t="s">
        <v>2291</v>
      </c>
      <c r="E607" s="10" t="str">
        <f>HYPERLINK("https://twitter.com/amorillahidalgo/status/1070838133611261958","1070838133611261958")</f>
        <v>1070838133611261958</v>
      </c>
      <c r="F607" s="11"/>
      <c r="G607" s="16" t="s">
        <v>2292</v>
      </c>
      <c r="H607" s="11"/>
      <c r="I607" s="12">
        <v>1</v>
      </c>
      <c r="J607" s="12">
        <v>1</v>
      </c>
      <c r="K607" s="13" t="str">
        <f>HYPERLINK("https://mobile.twitter.com","Twitter Lite")</f>
        <v>Twitter Lite</v>
      </c>
      <c r="L607" s="12">
        <v>102</v>
      </c>
      <c r="M607" s="12">
        <v>259</v>
      </c>
      <c r="N607" s="12">
        <v>0</v>
      </c>
      <c r="O607" s="14"/>
      <c r="P607" s="6">
        <v>43112.465347222227</v>
      </c>
      <c r="Q607" s="15" t="s">
        <v>348</v>
      </c>
      <c r="R607" s="17" t="s">
        <v>349</v>
      </c>
      <c r="S607" s="11"/>
      <c r="T607" s="11"/>
      <c r="U607" s="10" t="str">
        <f>HYPERLINK("https://pbs.twimg.com/profile_images/1030911885632258048/Sx0_Nxl9.jpg","View")</f>
        <v>View</v>
      </c>
    </row>
    <row r="608" spans="1:21" ht="40.799999999999997">
      <c r="A608" s="6">
        <v>43441.061122685191</v>
      </c>
      <c r="B608" s="7" t="str">
        <f>HYPERLINK("https://twitter.com/El_patriotaESP","@El_patriotaESP")</f>
        <v>@El_patriotaESP</v>
      </c>
      <c r="C608" s="8" t="s">
        <v>2293</v>
      </c>
      <c r="D608" s="9" t="s">
        <v>2294</v>
      </c>
      <c r="E608" s="10" t="str">
        <f>HYPERLINK("https://twitter.com/El_patriotaESP/status/1070837296704950273","1070837296704950273")</f>
        <v>1070837296704950273</v>
      </c>
      <c r="F608" s="16" t="s">
        <v>2295</v>
      </c>
      <c r="G608" s="16" t="s">
        <v>2296</v>
      </c>
      <c r="H608" s="11"/>
      <c r="I608" s="12">
        <v>0</v>
      </c>
      <c r="J608" s="12">
        <v>0</v>
      </c>
      <c r="K608" s="13" t="str">
        <f>HYPERLINK("http://twitter.com/download/android","Twitter for Android")</f>
        <v>Twitter for Android</v>
      </c>
      <c r="L608" s="12">
        <v>97</v>
      </c>
      <c r="M608" s="12">
        <v>148</v>
      </c>
      <c r="N608" s="12">
        <v>0</v>
      </c>
      <c r="O608" s="14"/>
      <c r="P608" s="6">
        <v>43408.981990740736</v>
      </c>
      <c r="Q608" s="11"/>
      <c r="R608" s="17" t="s">
        <v>2297</v>
      </c>
      <c r="S608" s="16" t="s">
        <v>2298</v>
      </c>
      <c r="T608" s="11"/>
      <c r="U608" s="10" t="str">
        <f>HYPERLINK("https://pbs.twimg.com/profile_images/1071005800196435969/7rnD0feB.jpg","View")</f>
        <v>View</v>
      </c>
    </row>
    <row r="609" spans="1:21" ht="20.399999999999999">
      <c r="A609" s="6">
        <v>43441.059849537036</v>
      </c>
      <c r="B609" s="7" t="str">
        <f>HYPERLINK("https://twitter.com/jadominguez1871","@jadominguez1871")</f>
        <v>@jadominguez1871</v>
      </c>
      <c r="C609" s="8" t="s">
        <v>2299</v>
      </c>
      <c r="D609" s="9" t="s">
        <v>2300</v>
      </c>
      <c r="E609" s="10" t="str">
        <f>HYPERLINK("https://twitter.com/jadominguez1871/status/1070836834148720642","1070836834148720642")</f>
        <v>1070836834148720642</v>
      </c>
      <c r="F609" s="11"/>
      <c r="G609" s="16" t="s">
        <v>2301</v>
      </c>
      <c r="H609" s="11"/>
      <c r="I609" s="12">
        <v>3</v>
      </c>
      <c r="J609" s="12">
        <v>2</v>
      </c>
      <c r="K609" s="13" t="str">
        <f>HYPERLINK("http://twitter.com/download/iphone","Twitter for iPhone")</f>
        <v>Twitter for iPhone</v>
      </c>
      <c r="L609" s="12">
        <v>317</v>
      </c>
      <c r="M609" s="12">
        <v>153</v>
      </c>
      <c r="N609" s="12">
        <v>4</v>
      </c>
      <c r="O609" s="14"/>
      <c r="P609" s="6">
        <v>40830.210659722223</v>
      </c>
      <c r="Q609" s="15" t="s">
        <v>612</v>
      </c>
      <c r="R609" s="17" t="s">
        <v>2302</v>
      </c>
      <c r="S609" s="16" t="s">
        <v>2303</v>
      </c>
      <c r="T609" s="11"/>
      <c r="U609" s="10" t="str">
        <f>HYPERLINK("https://pbs.twimg.com/profile_images/3357533170/657b7a55e26c2ff39d178b72687ef0da.jpeg","View")</f>
        <v>View</v>
      </c>
    </row>
    <row r="610" spans="1:21" ht="40.799999999999997">
      <c r="A610" s="6">
        <v>43441.057893518519</v>
      </c>
      <c r="B610" s="7" t="str">
        <f>HYPERLINK("https://twitter.com/vivabach68","@vivabach68")</f>
        <v>@vivabach68</v>
      </c>
      <c r="C610" s="8" t="s">
        <v>2304</v>
      </c>
      <c r="D610" s="9" t="s">
        <v>2305</v>
      </c>
      <c r="E610" s="10" t="str">
        <f>HYPERLINK("https://twitter.com/vivabach68/status/1070836128327102464","1070836128327102464")</f>
        <v>1070836128327102464</v>
      </c>
      <c r="F610" s="16" t="s">
        <v>2306</v>
      </c>
      <c r="G610" s="11"/>
      <c r="H610" s="11"/>
      <c r="I610" s="12">
        <v>0</v>
      </c>
      <c r="J610" s="12">
        <v>0</v>
      </c>
      <c r="K610" s="13" t="str">
        <f>HYPERLINK("http://twitter.com","Twitter Web Client")</f>
        <v>Twitter Web Client</v>
      </c>
      <c r="L610" s="12">
        <v>87</v>
      </c>
      <c r="M610" s="12">
        <v>45</v>
      </c>
      <c r="N610" s="12">
        <v>4</v>
      </c>
      <c r="O610" s="14"/>
      <c r="P610" s="6">
        <v>41282.010694444441</v>
      </c>
      <c r="Q610" s="15" t="s">
        <v>2307</v>
      </c>
      <c r="R610" s="17" t="s">
        <v>2308</v>
      </c>
      <c r="S610" s="11"/>
      <c r="T610" s="11"/>
      <c r="U610" s="10" t="str">
        <f>HYPERLINK("https://pbs.twimg.com/profile_images/753275008168910848/HS6rkanl.jpg","View")</f>
        <v>View</v>
      </c>
    </row>
    <row r="611" spans="1:21" ht="20.399999999999999">
      <c r="A611" s="6">
        <v>43441.054178240738</v>
      </c>
      <c r="B611" s="7" t="str">
        <f>HYPERLINK("https://twitter.com/andreaperrone78","@andreaperrone78")</f>
        <v>@andreaperrone78</v>
      </c>
      <c r="C611" s="8" t="s">
        <v>2309</v>
      </c>
      <c r="D611" s="9" t="s">
        <v>2310</v>
      </c>
      <c r="E611" s="10" t="str">
        <f>HYPERLINK("https://twitter.com/andreaperrone78/status/1070834780026097664","1070834780026097664")</f>
        <v>1070834780026097664</v>
      </c>
      <c r="F611" s="11"/>
      <c r="G611" s="16" t="s">
        <v>2311</v>
      </c>
      <c r="H611" s="11"/>
      <c r="I611" s="12">
        <v>0</v>
      </c>
      <c r="J611" s="12">
        <v>0</v>
      </c>
      <c r="K611" s="13" t="str">
        <f>HYPERLINK("http://twitter.com/download/iphone","Twitter for iPhone")</f>
        <v>Twitter for iPhone</v>
      </c>
      <c r="L611" s="12">
        <v>40</v>
      </c>
      <c r="M611" s="12">
        <v>135</v>
      </c>
      <c r="N611" s="12">
        <v>0</v>
      </c>
      <c r="O611" s="14"/>
      <c r="P611" s="6">
        <v>43303.447916666672</v>
      </c>
      <c r="Q611" s="15" t="s">
        <v>2312</v>
      </c>
      <c r="R611" s="17" t="s">
        <v>2313</v>
      </c>
      <c r="S611" s="11"/>
      <c r="T611" s="11"/>
      <c r="U611" s="10" t="str">
        <f>HYPERLINK("https://pbs.twimg.com/profile_images/1020958527567925248/j1jeVR-A.jpg","View")</f>
        <v>View</v>
      </c>
    </row>
    <row r="612" spans="1:21" ht="102">
      <c r="A612" s="6">
        <v>43441.05232638889</v>
      </c>
      <c r="B612" s="7" t="str">
        <f>HYPERLINK("https://twitter.com/MafaldaVnzl","@MafaldaVnzl")</f>
        <v>@MafaldaVnzl</v>
      </c>
      <c r="C612" s="8" t="s">
        <v>2314</v>
      </c>
      <c r="D612" s="9" t="s">
        <v>2315</v>
      </c>
      <c r="E612" s="10" t="str">
        <f>HYPERLINK("https://twitter.com/MafaldaVnzl/status/1070834110791331843","1070834110791331843")</f>
        <v>1070834110791331843</v>
      </c>
      <c r="F612" s="15" t="s">
        <v>2316</v>
      </c>
      <c r="G612" s="11"/>
      <c r="H612" s="11"/>
      <c r="I612" s="12">
        <v>2</v>
      </c>
      <c r="J612" s="12">
        <v>1</v>
      </c>
      <c r="K612" s="13" t="str">
        <f t="shared" ref="K612:K613" si="150">HYPERLINK("http://twitter.com/download/android","Twitter for Android")</f>
        <v>Twitter for Android</v>
      </c>
      <c r="L612" s="12">
        <v>6720</v>
      </c>
      <c r="M612" s="12">
        <v>5804</v>
      </c>
      <c r="N612" s="12">
        <v>34</v>
      </c>
      <c r="O612" s="14"/>
      <c r="P612" s="6">
        <v>41692.562951388885</v>
      </c>
      <c r="Q612" s="15" t="s">
        <v>2317</v>
      </c>
      <c r="R612" s="17" t="s">
        <v>2318</v>
      </c>
      <c r="S612" s="16" t="s">
        <v>2319</v>
      </c>
      <c r="T612" s="11"/>
      <c r="U612" s="10" t="str">
        <f>HYPERLINK("https://pbs.twimg.com/profile_images/955495905456721921/zEfWMbSr.jpg","View")</f>
        <v>View</v>
      </c>
    </row>
    <row r="613" spans="1:21" ht="61.2">
      <c r="A613" s="6">
        <v>43441.04420138889</v>
      </c>
      <c r="B613" s="7" t="str">
        <f>HYPERLINK("https://twitter.com/doguionrego","@doguionrego")</f>
        <v>@doguionrego</v>
      </c>
      <c r="C613" s="8" t="s">
        <v>194</v>
      </c>
      <c r="D613" s="9" t="s">
        <v>2320</v>
      </c>
      <c r="E613" s="10" t="str">
        <f>HYPERLINK("https://twitter.com/doguionrego/status/1070831163948838912","1070831163948838912")</f>
        <v>1070831163948838912</v>
      </c>
      <c r="F613" s="16" t="s">
        <v>2321</v>
      </c>
      <c r="G613" s="16" t="s">
        <v>2322</v>
      </c>
      <c r="H613" s="11"/>
      <c r="I613" s="12">
        <v>0</v>
      </c>
      <c r="J613" s="12">
        <v>0</v>
      </c>
      <c r="K613" s="13" t="str">
        <f t="shared" si="150"/>
        <v>Twitter for Android</v>
      </c>
      <c r="L613" s="12">
        <v>4650</v>
      </c>
      <c r="M613" s="12">
        <v>4774</v>
      </c>
      <c r="N613" s="12">
        <v>9</v>
      </c>
      <c r="O613" s="14"/>
      <c r="P613" s="6">
        <v>42818.633599537032</v>
      </c>
      <c r="Q613" s="15" t="s">
        <v>197</v>
      </c>
      <c r="R613" s="17" t="s">
        <v>198</v>
      </c>
      <c r="S613" s="11"/>
      <c r="T613" s="11"/>
      <c r="U613" s="10" t="str">
        <f>HYPERLINK("https://pbs.twimg.com/profile_images/937615481602789376/OBa7YPsM.jpg","View")</f>
        <v>View</v>
      </c>
    </row>
    <row r="614" spans="1:21" ht="61.2">
      <c r="A614" s="6">
        <v>43441.04115740741</v>
      </c>
      <c r="B614" s="7" t="str">
        <f>HYPERLINK("https://twitter.com/DidacSpolo","@DidacSpolo")</f>
        <v>@DidacSpolo</v>
      </c>
      <c r="C614" s="8" t="s">
        <v>2323</v>
      </c>
      <c r="D614" s="9" t="s">
        <v>2324</v>
      </c>
      <c r="E614" s="10" t="str">
        <f>HYPERLINK("https://twitter.com/DidacSpolo/status/1070830064059760640","1070830064059760640")</f>
        <v>1070830064059760640</v>
      </c>
      <c r="F614" s="11"/>
      <c r="G614" s="16" t="s">
        <v>2325</v>
      </c>
      <c r="H614" s="11"/>
      <c r="I614" s="12">
        <v>1</v>
      </c>
      <c r="J614" s="12">
        <v>3</v>
      </c>
      <c r="K614" s="13" t="str">
        <f t="shared" ref="K614:K616" si="151">HYPERLINK("http://twitter.com/download/iphone","Twitter for iPhone")</f>
        <v>Twitter for iPhone</v>
      </c>
      <c r="L614" s="12">
        <v>361</v>
      </c>
      <c r="M614" s="12">
        <v>361</v>
      </c>
      <c r="N614" s="12">
        <v>3</v>
      </c>
      <c r="O614" s="14"/>
      <c r="P614" s="6">
        <v>41425.845729166671</v>
      </c>
      <c r="Q614" s="11"/>
      <c r="R614" s="17" t="s">
        <v>2326</v>
      </c>
      <c r="S614" s="11"/>
      <c r="T614" s="11"/>
      <c r="U614" s="10" t="str">
        <f>HYPERLINK("https://pbs.twimg.com/profile_images/378800000660149285/4872954276f3fb9ed299799fe0bb497b.jpeg","View")</f>
        <v>View</v>
      </c>
    </row>
    <row r="615" spans="1:21" ht="40.799999999999997">
      <c r="A615" s="6">
        <v>43441.040405092594</v>
      </c>
      <c r="B615" s="7" t="str">
        <f>HYPERLINK("https://twitter.com/TetuanVox","@TetuanVox")</f>
        <v>@TetuanVox</v>
      </c>
      <c r="C615" s="8" t="s">
        <v>1373</v>
      </c>
      <c r="D615" s="9" t="s">
        <v>2327</v>
      </c>
      <c r="E615" s="10" t="str">
        <f>HYPERLINK("https://twitter.com/TetuanVox/status/1070829790960209920","1070829790960209920")</f>
        <v>1070829790960209920</v>
      </c>
      <c r="F615" s="16" t="s">
        <v>2328</v>
      </c>
      <c r="G615" s="11"/>
      <c r="H615" s="11"/>
      <c r="I615" s="12">
        <v>0</v>
      </c>
      <c r="J615" s="12">
        <v>0</v>
      </c>
      <c r="K615" s="13" t="str">
        <f t="shared" si="151"/>
        <v>Twitter for iPhone</v>
      </c>
      <c r="L615" s="12">
        <v>116</v>
      </c>
      <c r="M615" s="12">
        <v>543</v>
      </c>
      <c r="N615" s="12">
        <v>1</v>
      </c>
      <c r="O615" s="14"/>
      <c r="P615" s="6">
        <v>43272.623807870375</v>
      </c>
      <c r="Q615" s="15" t="s">
        <v>185</v>
      </c>
      <c r="R615" s="17" t="s">
        <v>1376</v>
      </c>
      <c r="S615" s="16" t="s">
        <v>1377</v>
      </c>
      <c r="T615" s="11"/>
      <c r="U615" s="10" t="str">
        <f>HYPERLINK("https://pbs.twimg.com/profile_images/1009782984109674496/iXclrgDA.jpg","View")</f>
        <v>View</v>
      </c>
    </row>
    <row r="616" spans="1:21" ht="51">
      <c r="A616" s="6">
        <v>43441.036504629628</v>
      </c>
      <c r="B616" s="7" t="str">
        <f>HYPERLINK("https://twitter.com/espainiakobeldu","@espainiakobeldu")</f>
        <v>@espainiakobeldu</v>
      </c>
      <c r="C616" s="8" t="s">
        <v>2329</v>
      </c>
      <c r="D616" s="9" t="s">
        <v>2330</v>
      </c>
      <c r="E616" s="10" t="str">
        <f>HYPERLINK("https://twitter.com/espainiakobeldu/status/1070828375374225408","1070828375374225408")</f>
        <v>1070828375374225408</v>
      </c>
      <c r="F616" s="11"/>
      <c r="G616" s="11"/>
      <c r="H616" s="11"/>
      <c r="I616" s="12">
        <v>1</v>
      </c>
      <c r="J616" s="12">
        <v>0</v>
      </c>
      <c r="K616" s="13" t="str">
        <f t="shared" si="151"/>
        <v>Twitter for iPhone</v>
      </c>
      <c r="L616" s="12">
        <v>478</v>
      </c>
      <c r="M616" s="12">
        <v>876</v>
      </c>
      <c r="N616" s="12">
        <v>0</v>
      </c>
      <c r="O616" s="14"/>
      <c r="P616" s="6">
        <v>43338.070520833338</v>
      </c>
      <c r="Q616" s="15" t="s">
        <v>197</v>
      </c>
      <c r="R616" s="17" t="s">
        <v>2331</v>
      </c>
      <c r="S616" s="11"/>
      <c r="T616" s="11"/>
      <c r="U616" s="10" t="str">
        <f>HYPERLINK("https://pbs.twimg.com/profile_images/1034820060966281217/hzUW9nV0.jpg","View")</f>
        <v>View</v>
      </c>
    </row>
    <row r="617" spans="1:21" ht="51">
      <c r="A617" s="6">
        <v>43441.034733796296</v>
      </c>
      <c r="B617" s="7" t="str">
        <f>HYPERLINK("https://twitter.com/Cuetano68","@Cuetano68")</f>
        <v>@Cuetano68</v>
      </c>
      <c r="C617" s="8" t="s">
        <v>2332</v>
      </c>
      <c r="D617" s="9" t="s">
        <v>2333</v>
      </c>
      <c r="E617" s="10" t="str">
        <f>HYPERLINK("https://twitter.com/Cuetano68/status/1070827735440912386","1070827735440912386")</f>
        <v>1070827735440912386</v>
      </c>
      <c r="F617" s="16" t="s">
        <v>2334</v>
      </c>
      <c r="G617" s="11"/>
      <c r="H617" s="11"/>
      <c r="I617" s="12">
        <v>2</v>
      </c>
      <c r="J617" s="12">
        <v>1</v>
      </c>
      <c r="K617" s="13" t="str">
        <f>HYPERLINK("http://twitter.com","Twitter Web Client")</f>
        <v>Twitter Web Client</v>
      </c>
      <c r="L617" s="12">
        <v>5821</v>
      </c>
      <c r="M617" s="12">
        <v>6102</v>
      </c>
      <c r="N617" s="12">
        <v>121</v>
      </c>
      <c r="O617" s="14"/>
      <c r="P617" s="6">
        <v>40725.851666666669</v>
      </c>
      <c r="Q617" s="15" t="s">
        <v>2335</v>
      </c>
      <c r="R617" s="17" t="s">
        <v>2336</v>
      </c>
      <c r="S617" s="16" t="s">
        <v>2337</v>
      </c>
      <c r="T617" s="11"/>
      <c r="U617" s="10" t="str">
        <f>HYPERLINK("https://pbs.twimg.com/profile_images/900511161799639040/5J9IE4Yv.jpg","View")</f>
        <v>View</v>
      </c>
    </row>
    <row r="618" spans="1:21" ht="51">
      <c r="A618" s="6">
        <v>43441.032812500001</v>
      </c>
      <c r="B618" s="7" t="str">
        <f>HYPERLINK("https://twitter.com/correti","@correti")</f>
        <v>@correti</v>
      </c>
      <c r="C618" s="8" t="s">
        <v>2338</v>
      </c>
      <c r="D618" s="9" t="s">
        <v>2339</v>
      </c>
      <c r="E618" s="10" t="str">
        <f>HYPERLINK("https://twitter.com/correti/status/1070827038280478725","1070827038280478725")</f>
        <v>1070827038280478725</v>
      </c>
      <c r="F618" s="11"/>
      <c r="G618" s="11"/>
      <c r="H618" s="11"/>
      <c r="I618" s="12">
        <v>1</v>
      </c>
      <c r="J618" s="12">
        <v>2</v>
      </c>
      <c r="K618" s="13" t="str">
        <f t="shared" ref="K618:K619" si="152">HYPERLINK("http://twitter.com/download/iphone","Twitter for iPhone")</f>
        <v>Twitter for iPhone</v>
      </c>
      <c r="L618" s="12">
        <v>44</v>
      </c>
      <c r="M618" s="12">
        <v>101</v>
      </c>
      <c r="N618" s="12">
        <v>0</v>
      </c>
      <c r="O618" s="14"/>
      <c r="P618" s="6">
        <v>40636.081736111111</v>
      </c>
      <c r="Q618" s="15" t="s">
        <v>2340</v>
      </c>
      <c r="R618" s="17" t="s">
        <v>2341</v>
      </c>
      <c r="S618" s="11"/>
      <c r="T618" s="11"/>
      <c r="U618" s="10" t="str">
        <f>HYPERLINK("https://pbs.twimg.com/profile_images/1028706878237360128/il79lpL4.jpg","View")</f>
        <v>View</v>
      </c>
    </row>
    <row r="619" spans="1:21" ht="51">
      <c r="A619" s="6">
        <v>43441.032569444447</v>
      </c>
      <c r="B619" s="7" t="str">
        <f>HYPERLINK("https://twitter.com/yh5ijortkvlfbri","@yh5ijortkvlfbri")</f>
        <v>@yh5ijortkvlfbri</v>
      </c>
      <c r="C619" s="8" t="s">
        <v>2342</v>
      </c>
      <c r="D619" s="9" t="s">
        <v>2343</v>
      </c>
      <c r="E619" s="10" t="str">
        <f>HYPERLINK("https://twitter.com/yh5ijortkvlfbri/status/1070826948572733440","1070826948572733440")</f>
        <v>1070826948572733440</v>
      </c>
      <c r="F619" s="11"/>
      <c r="G619" s="11"/>
      <c r="H619" s="11"/>
      <c r="I619" s="12">
        <v>0</v>
      </c>
      <c r="J619" s="12">
        <v>2</v>
      </c>
      <c r="K619" s="13" t="str">
        <f t="shared" si="152"/>
        <v>Twitter for iPhone</v>
      </c>
      <c r="L619" s="12">
        <v>60</v>
      </c>
      <c r="M619" s="12">
        <v>128</v>
      </c>
      <c r="N619" s="12">
        <v>0</v>
      </c>
      <c r="O619" s="14"/>
      <c r="P619" s="6">
        <v>42934.135312500002</v>
      </c>
      <c r="Q619" s="15" t="s">
        <v>2344</v>
      </c>
      <c r="R619" s="17" t="s">
        <v>2345</v>
      </c>
      <c r="S619" s="11"/>
      <c r="T619" s="11"/>
      <c r="U619" s="10" t="str">
        <f>HYPERLINK("https://pbs.twimg.com/profile_images/1019176965734060033/7ATb3Db3.jpg","View")</f>
        <v>View</v>
      </c>
    </row>
    <row r="620" spans="1:21" ht="30.6">
      <c r="A620" s="6">
        <v>43441.031631944439</v>
      </c>
      <c r="B620" s="7" t="str">
        <f>HYPERLINK("https://twitter.com/Al_Iks","@Al_Iks")</f>
        <v>@Al_Iks</v>
      </c>
      <c r="C620" s="8" t="s">
        <v>2346</v>
      </c>
      <c r="D620" s="9" t="s">
        <v>2347</v>
      </c>
      <c r="E620" s="10" t="str">
        <f>HYPERLINK("https://twitter.com/Al_Iks/status/1070826611094810625","1070826611094810625")</f>
        <v>1070826611094810625</v>
      </c>
      <c r="F620" s="16" t="s">
        <v>2348</v>
      </c>
      <c r="G620" s="11"/>
      <c r="H620" s="11"/>
      <c r="I620" s="12">
        <v>0</v>
      </c>
      <c r="J620" s="12">
        <v>0</v>
      </c>
      <c r="K620" s="13" t="str">
        <f t="shared" ref="K620:K621" si="153">HYPERLINK("http://twitter.com","Twitter Web Client")</f>
        <v>Twitter Web Client</v>
      </c>
      <c r="L620" s="12">
        <v>1212</v>
      </c>
      <c r="M620" s="12">
        <v>1654</v>
      </c>
      <c r="N620" s="12">
        <v>36</v>
      </c>
      <c r="O620" s="14"/>
      <c r="P620" s="6">
        <v>40222.447175925925</v>
      </c>
      <c r="Q620" s="15" t="s">
        <v>501</v>
      </c>
      <c r="R620" s="17" t="s">
        <v>2349</v>
      </c>
      <c r="S620" s="16" t="s">
        <v>2350</v>
      </c>
      <c r="T620" s="11"/>
      <c r="U620" s="10" t="str">
        <f>HYPERLINK("https://pbs.twimg.com/profile_images/1051124640934969345/SvvTh7vw.jpg","View")</f>
        <v>View</v>
      </c>
    </row>
    <row r="621" spans="1:21" ht="40.799999999999997">
      <c r="A621" s="6">
        <v>43441.026145833333</v>
      </c>
      <c r="B621" s="7" t="str">
        <f>HYPERLINK("https://twitter.com/juanperdomosoto","@juanperdomosoto")</f>
        <v>@juanperdomosoto</v>
      </c>
      <c r="C621" s="8" t="s">
        <v>2351</v>
      </c>
      <c r="D621" s="9" t="s">
        <v>2352</v>
      </c>
      <c r="E621" s="10" t="str">
        <f>HYPERLINK("https://twitter.com/juanperdomosoto/status/1070824622604595200","1070824622604595200")</f>
        <v>1070824622604595200</v>
      </c>
      <c r="F621" s="11"/>
      <c r="G621" s="16" t="s">
        <v>2353</v>
      </c>
      <c r="H621" s="11"/>
      <c r="I621" s="12">
        <v>4</v>
      </c>
      <c r="J621" s="12">
        <v>7</v>
      </c>
      <c r="K621" s="13" t="str">
        <f t="shared" si="153"/>
        <v>Twitter Web Client</v>
      </c>
      <c r="L621" s="12">
        <v>899</v>
      </c>
      <c r="M621" s="12">
        <v>324</v>
      </c>
      <c r="N621" s="12">
        <v>12</v>
      </c>
      <c r="O621" s="14"/>
      <c r="P621" s="6">
        <v>42523.578182870369</v>
      </c>
      <c r="Q621" s="15" t="s">
        <v>197</v>
      </c>
      <c r="R621" s="17" t="s">
        <v>2354</v>
      </c>
      <c r="S621" s="16" t="s">
        <v>2355</v>
      </c>
      <c r="T621" s="11"/>
      <c r="U621" s="10" t="str">
        <f>HYPERLINK("https://pbs.twimg.com/profile_images/960366406415069184/liHuFU9S.jpg","View")</f>
        <v>View</v>
      </c>
    </row>
    <row r="622" spans="1:21" ht="51">
      <c r="A622" s="6">
        <v>43441.025266203702</v>
      </c>
      <c r="B622" s="7" t="str">
        <f>HYPERLINK("https://twitter.com/FG72373327","@FG72373327")</f>
        <v>@FG72373327</v>
      </c>
      <c r="C622" s="8" t="s">
        <v>2097</v>
      </c>
      <c r="D622" s="9" t="s">
        <v>2356</v>
      </c>
      <c r="E622" s="10" t="str">
        <f>HYPERLINK("https://twitter.com/FG72373327/status/1070824302956621824","1070824302956621824")</f>
        <v>1070824302956621824</v>
      </c>
      <c r="F622" s="11"/>
      <c r="G622" s="16" t="s">
        <v>2357</v>
      </c>
      <c r="H622" s="11"/>
      <c r="I622" s="12">
        <v>0</v>
      </c>
      <c r="J622" s="12">
        <v>0</v>
      </c>
      <c r="K622" s="13" t="str">
        <f>HYPERLINK("http://twitter.com/download/iphone","Twitter for iPhone")</f>
        <v>Twitter for iPhone</v>
      </c>
      <c r="L622" s="12">
        <v>888</v>
      </c>
      <c r="M622" s="12">
        <v>926</v>
      </c>
      <c r="N622" s="12">
        <v>6</v>
      </c>
      <c r="O622" s="14"/>
      <c r="P622" s="6">
        <v>42977.396006944444</v>
      </c>
      <c r="Q622" s="15" t="s">
        <v>185</v>
      </c>
      <c r="R622" s="18"/>
      <c r="S622" s="11"/>
      <c r="T622" s="11"/>
      <c r="U622" s="10" t="str">
        <f>HYPERLINK("https://pbs.twimg.com/profile_images/902802729009111040/RUuGyEn7.jpg","View")</f>
        <v>View</v>
      </c>
    </row>
    <row r="623" spans="1:21" ht="40.799999999999997">
      <c r="A623" s="6">
        <v>43441.024594907409</v>
      </c>
      <c r="B623" s="7" t="str">
        <f>HYPERLINK("https://twitter.com/TeneisMeNegro","@TeneisMeNegro")</f>
        <v>@TeneisMeNegro</v>
      </c>
      <c r="C623" s="8" t="s">
        <v>2358</v>
      </c>
      <c r="D623" s="9" t="s">
        <v>2359</v>
      </c>
      <c r="E623" s="10" t="str">
        <f>HYPERLINK("https://twitter.com/TeneisMeNegro/status/1070824058374230016","1070824058374230016")</f>
        <v>1070824058374230016</v>
      </c>
      <c r="F623" s="11"/>
      <c r="G623" s="11"/>
      <c r="H623" s="11"/>
      <c r="I623" s="12">
        <v>4</v>
      </c>
      <c r="J623" s="12">
        <v>5</v>
      </c>
      <c r="K623" s="13" t="str">
        <f t="shared" ref="K623:K624" si="154">HYPERLINK("http://twitter.com/download/android","Twitter for Android")</f>
        <v>Twitter for Android</v>
      </c>
      <c r="L623" s="12">
        <v>61</v>
      </c>
      <c r="M623" s="12">
        <v>124</v>
      </c>
      <c r="N623" s="12">
        <v>0</v>
      </c>
      <c r="O623" s="14"/>
      <c r="P623" s="6">
        <v>42967.086145833338</v>
      </c>
      <c r="Q623" s="11"/>
      <c r="R623" s="17" t="s">
        <v>2360</v>
      </c>
      <c r="S623" s="11"/>
      <c r="T623" s="11"/>
      <c r="U623" s="10" t="str">
        <f>HYPERLINK("https://pbs.twimg.com/profile_images/1059947255778697217/1K4cAiLN.jpg","View")</f>
        <v>View</v>
      </c>
    </row>
    <row r="624" spans="1:21" ht="71.400000000000006">
      <c r="A624" s="6">
        <v>43441.024421296301</v>
      </c>
      <c r="B624" s="7" t="str">
        <f>HYPERLINK("https://twitter.com/illarregui73","@illarregui73")</f>
        <v>@illarregui73</v>
      </c>
      <c r="C624" s="8" t="s">
        <v>2361</v>
      </c>
      <c r="D624" s="9" t="s">
        <v>2362</v>
      </c>
      <c r="E624" s="10" t="str">
        <f>HYPERLINK("https://twitter.com/illarregui73/status/1070823995535228928","1070823995535228928")</f>
        <v>1070823995535228928</v>
      </c>
      <c r="F624" s="15" t="s">
        <v>2363</v>
      </c>
      <c r="G624" s="11"/>
      <c r="H624" s="11"/>
      <c r="I624" s="12">
        <v>0</v>
      </c>
      <c r="J624" s="12">
        <v>0</v>
      </c>
      <c r="K624" s="13" t="str">
        <f t="shared" si="154"/>
        <v>Twitter for Android</v>
      </c>
      <c r="L624" s="12">
        <v>831</v>
      </c>
      <c r="M624" s="12">
        <v>1238</v>
      </c>
      <c r="N624" s="12">
        <v>7</v>
      </c>
      <c r="O624" s="14"/>
      <c r="P624" s="6">
        <v>42118.615474537037</v>
      </c>
      <c r="Q624" s="15" t="s">
        <v>2364</v>
      </c>
      <c r="R624" s="17" t="s">
        <v>2365</v>
      </c>
      <c r="S624" s="11"/>
      <c r="T624" s="11"/>
      <c r="U624" s="10" t="str">
        <f>HYPERLINK("https://pbs.twimg.com/profile_images/1070804124873166848/g7HCZl4V.jpg","View")</f>
        <v>View</v>
      </c>
    </row>
    <row r="625" spans="1:21" ht="81.599999999999994">
      <c r="A625" s="6">
        <v>43441.019548611112</v>
      </c>
      <c r="B625" s="7" t="str">
        <f>HYPERLINK("https://twitter.com/SalvaVillegas","@SalvaVillegas")</f>
        <v>@SalvaVillegas</v>
      </c>
      <c r="C625" s="8" t="s">
        <v>2366</v>
      </c>
      <c r="D625" s="9" t="s">
        <v>2367</v>
      </c>
      <c r="E625" s="10" t="str">
        <f>HYPERLINK("https://twitter.com/SalvaVillegas/status/1070822229452226565","1070822229452226565")</f>
        <v>1070822229452226565</v>
      </c>
      <c r="F625" s="15" t="s">
        <v>1991</v>
      </c>
      <c r="G625" s="11"/>
      <c r="H625" s="11"/>
      <c r="I625" s="12">
        <v>0</v>
      </c>
      <c r="J625" s="12">
        <v>2</v>
      </c>
      <c r="K625" s="13" t="str">
        <f>HYPERLINK("http://twitter.com/download/iphone","Twitter for iPhone")</f>
        <v>Twitter for iPhone</v>
      </c>
      <c r="L625" s="12">
        <v>414</v>
      </c>
      <c r="M625" s="12">
        <v>348</v>
      </c>
      <c r="N625" s="12">
        <v>10</v>
      </c>
      <c r="O625" s="14"/>
      <c r="P625" s="6">
        <v>40949.073564814811</v>
      </c>
      <c r="Q625" s="15" t="s">
        <v>2368</v>
      </c>
      <c r="R625" s="17" t="s">
        <v>2369</v>
      </c>
      <c r="S625" s="11"/>
      <c r="T625" s="11"/>
      <c r="U625" s="10" t="str">
        <f>HYPERLINK("https://pbs.twimg.com/profile_images/928745659536158720/HN3e7B_T.jpg","View")</f>
        <v>View</v>
      </c>
    </row>
    <row r="626" spans="1:21" ht="102">
      <c r="A626" s="6">
        <v>43441.012175925927</v>
      </c>
      <c r="B626" s="7" t="str">
        <f>HYPERLINK("https://twitter.com/jfcdrr","@jfcdrr")</f>
        <v>@jfcdrr</v>
      </c>
      <c r="C626" s="8" t="s">
        <v>2370</v>
      </c>
      <c r="D626" s="9" t="s">
        <v>2371</v>
      </c>
      <c r="E626" s="10" t="str">
        <f>HYPERLINK("https://twitter.com/jfcdrr/status/1070819560683724800","1070819560683724800")</f>
        <v>1070819560683724800</v>
      </c>
      <c r="F626" s="16" t="s">
        <v>2372</v>
      </c>
      <c r="G626" s="16" t="s">
        <v>2373</v>
      </c>
      <c r="H626" s="11"/>
      <c r="I626" s="12">
        <v>1</v>
      </c>
      <c r="J626" s="12">
        <v>1</v>
      </c>
      <c r="K626" s="13" t="str">
        <f>HYPERLINK("http://twitter.com/download/android","Twitter for Android")</f>
        <v>Twitter for Android</v>
      </c>
      <c r="L626" s="12">
        <v>584</v>
      </c>
      <c r="M626" s="12">
        <v>1431</v>
      </c>
      <c r="N626" s="12">
        <v>66</v>
      </c>
      <c r="O626" s="14"/>
      <c r="P626" s="6">
        <v>40802.800324074073</v>
      </c>
      <c r="Q626" s="15" t="s">
        <v>2374</v>
      </c>
      <c r="R626" s="17" t="s">
        <v>2375</v>
      </c>
      <c r="S626" s="11"/>
      <c r="T626" s="11"/>
      <c r="U626" s="10" t="str">
        <f>HYPERLINK("https://pbs.twimg.com/profile_images/1578091303/image.jpg","View")</f>
        <v>View</v>
      </c>
    </row>
    <row r="627" spans="1:21" ht="40.799999999999997">
      <c r="A627" s="6">
        <v>43441.010219907403</v>
      </c>
      <c r="B627" s="7" t="str">
        <f>HYPERLINK("https://twitter.com/TetuanVox","@TetuanVox")</f>
        <v>@TetuanVox</v>
      </c>
      <c r="C627" s="8" t="s">
        <v>1373</v>
      </c>
      <c r="D627" s="9" t="s">
        <v>2376</v>
      </c>
      <c r="E627" s="10" t="str">
        <f>HYPERLINK("https://twitter.com/TetuanVox/status/1070818849732288512","1070818849732288512")</f>
        <v>1070818849732288512</v>
      </c>
      <c r="F627" s="11"/>
      <c r="G627" s="16" t="s">
        <v>2377</v>
      </c>
      <c r="H627" s="11"/>
      <c r="I627" s="12">
        <v>0</v>
      </c>
      <c r="J627" s="12">
        <v>0</v>
      </c>
      <c r="K627" s="13" t="str">
        <f>HYPERLINK("http://twitter.com/download/iphone","Twitter for iPhone")</f>
        <v>Twitter for iPhone</v>
      </c>
      <c r="L627" s="12">
        <v>116</v>
      </c>
      <c r="M627" s="12">
        <v>543</v>
      </c>
      <c r="N627" s="12">
        <v>1</v>
      </c>
      <c r="O627" s="14"/>
      <c r="P627" s="6">
        <v>43272.623807870375</v>
      </c>
      <c r="Q627" s="15" t="s">
        <v>185</v>
      </c>
      <c r="R627" s="17" t="s">
        <v>1376</v>
      </c>
      <c r="S627" s="16" t="s">
        <v>1377</v>
      </c>
      <c r="T627" s="11"/>
      <c r="U627" s="10" t="str">
        <f>HYPERLINK("https://pbs.twimg.com/profile_images/1009782984109674496/iXclrgDA.jpg","View")</f>
        <v>View</v>
      </c>
    </row>
    <row r="628" spans="1:21" ht="51">
      <c r="A628" s="6">
        <v>43441.010046296295</v>
      </c>
      <c r="B628" s="7" t="str">
        <f>HYPERLINK("https://twitter.com/piopiotwit","@piopiotwit")</f>
        <v>@piopiotwit</v>
      </c>
      <c r="C628" s="8" t="s">
        <v>2378</v>
      </c>
      <c r="D628" s="9" t="s">
        <v>2379</v>
      </c>
      <c r="E628" s="10" t="str">
        <f>HYPERLINK("https://twitter.com/piopiotwit/status/1070818787782520832","1070818787782520832")</f>
        <v>1070818787782520832</v>
      </c>
      <c r="F628" s="15" t="s">
        <v>2380</v>
      </c>
      <c r="G628" s="11"/>
      <c r="H628" s="11"/>
      <c r="I628" s="12">
        <v>29</v>
      </c>
      <c r="J628" s="12">
        <v>63</v>
      </c>
      <c r="K628" s="13" t="str">
        <f>HYPERLINK("http://twitter.com/#!/download/ipad","Twitter for iPad")</f>
        <v>Twitter for iPad</v>
      </c>
      <c r="L628" s="12">
        <v>2430</v>
      </c>
      <c r="M628" s="12">
        <v>1703</v>
      </c>
      <c r="N628" s="12">
        <v>31</v>
      </c>
      <c r="O628" s="14"/>
      <c r="P628" s="6">
        <v>41581.075787037036</v>
      </c>
      <c r="Q628" s="15" t="s">
        <v>2381</v>
      </c>
      <c r="R628" s="17" t="s">
        <v>2382</v>
      </c>
      <c r="S628" s="11"/>
      <c r="T628" s="11"/>
      <c r="U628" s="10" t="str">
        <f>HYPERLINK("https://pbs.twimg.com/profile_images/847751229656584192/rOz7IyzE.jpg","View")</f>
        <v>View</v>
      </c>
    </row>
    <row r="629" spans="1:21" ht="13.2">
      <c r="A629" s="6">
        <v>43441.0078125</v>
      </c>
      <c r="B629" s="7" t="str">
        <f>HYPERLINK("https://twitter.com/albertoarregui_","@albertoarregui_")</f>
        <v>@albertoarregui_</v>
      </c>
      <c r="C629" s="8" t="s">
        <v>2383</v>
      </c>
      <c r="D629" s="9" t="s">
        <v>2384</v>
      </c>
      <c r="E629" s="10" t="str">
        <f>HYPERLINK("https://twitter.com/albertoarregui_/status/1070817977216524288","1070817977216524288")</f>
        <v>1070817977216524288</v>
      </c>
      <c r="F629" s="11"/>
      <c r="G629" s="16" t="s">
        <v>2385</v>
      </c>
      <c r="H629" s="11"/>
      <c r="I629" s="12">
        <v>0</v>
      </c>
      <c r="J629" s="12">
        <v>1</v>
      </c>
      <c r="K629" s="13" t="str">
        <f>HYPERLINK("http://twitter.com","Twitter Web Client")</f>
        <v>Twitter Web Client</v>
      </c>
      <c r="L629" s="12">
        <v>1456</v>
      </c>
      <c r="M629" s="12">
        <v>2842</v>
      </c>
      <c r="N629" s="12">
        <v>77</v>
      </c>
      <c r="O629" s="14"/>
      <c r="P629" s="6">
        <v>41358.432847222226</v>
      </c>
      <c r="Q629" s="15" t="s">
        <v>1371</v>
      </c>
      <c r="R629" s="17" t="s">
        <v>2386</v>
      </c>
      <c r="S629" s="11"/>
      <c r="T629" s="11"/>
      <c r="U629" s="10" t="str">
        <f>HYPERLINK("https://pbs.twimg.com/profile_images/1060900578186981379/InSMAxNC.jpg","View")</f>
        <v>View</v>
      </c>
    </row>
    <row r="630" spans="1:21" ht="81.599999999999994">
      <c r="A630" s="6">
        <v>43441.007789351846</v>
      </c>
      <c r="B630" s="7" t="str">
        <f>HYPERLINK("https://twitter.com/Epigramero","@Epigramero")</f>
        <v>@Epigramero</v>
      </c>
      <c r="C630" s="8" t="s">
        <v>2387</v>
      </c>
      <c r="D630" s="9" t="s">
        <v>2388</v>
      </c>
      <c r="E630" s="10" t="str">
        <f>HYPERLINK("https://twitter.com/Epigramero/status/1070817971113783298","1070817971113783298")</f>
        <v>1070817971113783298</v>
      </c>
      <c r="F630" s="16" t="s">
        <v>2389</v>
      </c>
      <c r="G630" s="16" t="s">
        <v>2390</v>
      </c>
      <c r="H630" s="11"/>
      <c r="I630" s="12">
        <v>0</v>
      </c>
      <c r="J630" s="12">
        <v>1</v>
      </c>
      <c r="K630" s="13" t="str">
        <f>HYPERLINK("https://about.twitter.com/products/tweetdeck","TweetDeck")</f>
        <v>TweetDeck</v>
      </c>
      <c r="L630" s="12">
        <v>323</v>
      </c>
      <c r="M630" s="12">
        <v>1124</v>
      </c>
      <c r="N630" s="12">
        <v>7</v>
      </c>
      <c r="O630" s="14"/>
      <c r="P630" s="6">
        <v>40277.741319444445</v>
      </c>
      <c r="Q630" s="15" t="s">
        <v>2391</v>
      </c>
      <c r="R630" s="17" t="s">
        <v>2392</v>
      </c>
      <c r="S630" s="11"/>
      <c r="T630" s="11"/>
      <c r="U630" s="10" t="str">
        <f>HYPERLINK("https://pbs.twimg.com/profile_images/980146520451420160/GNZFRThI.jpg","View")</f>
        <v>View</v>
      </c>
    </row>
    <row r="631" spans="1:21" ht="40.799999999999997">
      <c r="A631" s="6">
        <v>43441.007719907408</v>
      </c>
      <c r="B631" s="7" t="str">
        <f>HYPERLINK("https://twitter.com/MISSBLANDINGS","@MISSBLANDINGS")</f>
        <v>@MISSBLANDINGS</v>
      </c>
      <c r="C631" s="8" t="s">
        <v>2393</v>
      </c>
      <c r="D631" s="9" t="s">
        <v>2394</v>
      </c>
      <c r="E631" s="10" t="str">
        <f>HYPERLINK("https://twitter.com/MISSBLANDINGS/status/1070817945469812736","1070817945469812736")</f>
        <v>1070817945469812736</v>
      </c>
      <c r="F631" s="16" t="s">
        <v>2395</v>
      </c>
      <c r="G631" s="11"/>
      <c r="H631" s="11"/>
      <c r="I631" s="12">
        <v>0</v>
      </c>
      <c r="J631" s="12">
        <v>0</v>
      </c>
      <c r="K631" s="13" t="str">
        <f>HYPERLINK("http://twitter.com/download/iphone","Twitter for iPhone")</f>
        <v>Twitter for iPhone</v>
      </c>
      <c r="L631" s="12">
        <v>2470</v>
      </c>
      <c r="M631" s="12">
        <v>3680</v>
      </c>
      <c r="N631" s="12">
        <v>19</v>
      </c>
      <c r="O631" s="14"/>
      <c r="P631" s="6">
        <v>40936.923819444448</v>
      </c>
      <c r="Q631" s="15" t="s">
        <v>2396</v>
      </c>
      <c r="R631" s="17" t="s">
        <v>2397</v>
      </c>
      <c r="S631" s="11"/>
      <c r="T631" s="11"/>
      <c r="U631" s="10" t="str">
        <f>HYPERLINK("https://pbs.twimg.com/profile_images/958861147029102593/2QWqDHY8.jpg","View")</f>
        <v>View</v>
      </c>
    </row>
    <row r="632" spans="1:21" ht="91.8">
      <c r="A632" s="6">
        <v>43441.007696759261</v>
      </c>
      <c r="B632" s="7" t="str">
        <f>HYPERLINK("https://twitter.com/JubeirC","@JubeirC")</f>
        <v>@JubeirC</v>
      </c>
      <c r="C632" s="8" t="s">
        <v>2398</v>
      </c>
      <c r="D632" s="9" t="s">
        <v>2399</v>
      </c>
      <c r="E632" s="10" t="str">
        <f>HYPERLINK("https://twitter.com/JubeirC/status/1070817934199713792","1070817934199713792")</f>
        <v>1070817934199713792</v>
      </c>
      <c r="F632" s="16" t="s">
        <v>1143</v>
      </c>
      <c r="G632" s="16" t="s">
        <v>1144</v>
      </c>
      <c r="H632" s="11"/>
      <c r="I632" s="12">
        <v>0</v>
      </c>
      <c r="J632" s="12">
        <v>0</v>
      </c>
      <c r="K632" s="13" t="str">
        <f t="shared" ref="K632:K635" si="155">HYPERLINK("http://twitter.com/download/android","Twitter for Android")</f>
        <v>Twitter for Android</v>
      </c>
      <c r="L632" s="12">
        <v>90</v>
      </c>
      <c r="M632" s="12">
        <v>168</v>
      </c>
      <c r="N632" s="12">
        <v>0</v>
      </c>
      <c r="O632" s="14"/>
      <c r="P632" s="6">
        <v>43418.45893518519</v>
      </c>
      <c r="Q632" s="15" t="s">
        <v>185</v>
      </c>
      <c r="R632" s="17" t="s">
        <v>2400</v>
      </c>
      <c r="S632" s="11"/>
      <c r="T632" s="11"/>
      <c r="U632" s="10" t="str">
        <f>HYPERLINK("https://pbs.twimg.com/profile_images/1067561859199447040/oZtzCzck.jpg","View")</f>
        <v>View</v>
      </c>
    </row>
    <row r="633" spans="1:21" ht="30.6">
      <c r="A633" s="6">
        <v>43441.006828703699</v>
      </c>
      <c r="B633" s="7" t="str">
        <f>HYPERLINK("https://twitter.com/kodiario_","@kodiario_")</f>
        <v>@kodiario_</v>
      </c>
      <c r="C633" s="8" t="s">
        <v>2401</v>
      </c>
      <c r="D633" s="9" t="s">
        <v>2402</v>
      </c>
      <c r="E633" s="10" t="str">
        <f>HYPERLINK("https://twitter.com/kodiario_/status/1070817623682764802","1070817623682764802")</f>
        <v>1070817623682764802</v>
      </c>
      <c r="F633" s="16" t="s">
        <v>2403</v>
      </c>
      <c r="G633" s="11"/>
      <c r="H633" s="11"/>
      <c r="I633" s="12">
        <v>6</v>
      </c>
      <c r="J633" s="12">
        <v>6</v>
      </c>
      <c r="K633" s="13" t="str">
        <f t="shared" si="155"/>
        <v>Twitter for Android</v>
      </c>
      <c r="L633" s="12">
        <v>4619</v>
      </c>
      <c r="M633" s="12">
        <v>332</v>
      </c>
      <c r="N633" s="12">
        <v>57</v>
      </c>
      <c r="O633" s="14"/>
      <c r="P633" s="6">
        <v>42564.053425925929</v>
      </c>
      <c r="Q633" s="11"/>
      <c r="R633" s="17" t="s">
        <v>2404</v>
      </c>
      <c r="S633" s="11"/>
      <c r="T633" s="11"/>
      <c r="U633" s="10" t="str">
        <f>HYPERLINK("https://pbs.twimg.com/profile_images/977352060571148288/z2lxbv4P.jpg","View")</f>
        <v>View</v>
      </c>
    </row>
    <row r="634" spans="1:21" ht="102">
      <c r="A634" s="6">
        <v>43441.004629629635</v>
      </c>
      <c r="B634" s="7" t="str">
        <f>HYPERLINK("https://twitter.com/JubeirC","@JubeirC")</f>
        <v>@JubeirC</v>
      </c>
      <c r="C634" s="8" t="s">
        <v>2398</v>
      </c>
      <c r="D634" s="9" t="s">
        <v>2405</v>
      </c>
      <c r="E634" s="10" t="str">
        <f>HYPERLINK("https://twitter.com/JubeirC/status/1070816826433695744","1070816826433695744")</f>
        <v>1070816826433695744</v>
      </c>
      <c r="F634" s="16" t="s">
        <v>260</v>
      </c>
      <c r="G634" s="16" t="s">
        <v>261</v>
      </c>
      <c r="H634" s="11"/>
      <c r="I634" s="12">
        <v>0</v>
      </c>
      <c r="J634" s="12">
        <v>0</v>
      </c>
      <c r="K634" s="13" t="str">
        <f t="shared" si="155"/>
        <v>Twitter for Android</v>
      </c>
      <c r="L634" s="12">
        <v>90</v>
      </c>
      <c r="M634" s="12">
        <v>168</v>
      </c>
      <c r="N634" s="12">
        <v>0</v>
      </c>
      <c r="O634" s="14"/>
      <c r="P634" s="6">
        <v>43418.45893518519</v>
      </c>
      <c r="Q634" s="15" t="s">
        <v>185</v>
      </c>
      <c r="R634" s="17" t="s">
        <v>2400</v>
      </c>
      <c r="S634" s="11"/>
      <c r="T634" s="11"/>
      <c r="U634" s="10" t="str">
        <f>HYPERLINK("https://pbs.twimg.com/profile_images/1067561859199447040/oZtzCzck.jpg","View")</f>
        <v>View</v>
      </c>
    </row>
    <row r="635" spans="1:21" ht="40.799999999999997">
      <c r="A635" s="6">
        <v>43441.003310185188</v>
      </c>
      <c r="B635" s="7" t="str">
        <f>HYPERLINK("https://twitter.com/macaserma2","@macaserma2")</f>
        <v>@macaserma2</v>
      </c>
      <c r="C635" s="8" t="s">
        <v>2406</v>
      </c>
      <c r="D635" s="9" t="s">
        <v>2407</v>
      </c>
      <c r="E635" s="10" t="str">
        <f>HYPERLINK("https://twitter.com/macaserma2/status/1070816347536408576","1070816347536408576")</f>
        <v>1070816347536408576</v>
      </c>
      <c r="F635" s="16" t="s">
        <v>2408</v>
      </c>
      <c r="G635" s="11"/>
      <c r="H635" s="11"/>
      <c r="I635" s="12">
        <v>0</v>
      </c>
      <c r="J635" s="12">
        <v>2</v>
      </c>
      <c r="K635" s="13" t="str">
        <f t="shared" si="155"/>
        <v>Twitter for Android</v>
      </c>
      <c r="L635" s="12">
        <v>61</v>
      </c>
      <c r="M635" s="12">
        <v>188</v>
      </c>
      <c r="N635" s="12">
        <v>0</v>
      </c>
      <c r="O635" s="14"/>
      <c r="P635" s="6">
        <v>40858.818877314814</v>
      </c>
      <c r="Q635" s="15" t="s">
        <v>709</v>
      </c>
      <c r="R635" s="17" t="s">
        <v>2409</v>
      </c>
      <c r="S635" s="11"/>
      <c r="T635" s="11"/>
      <c r="U635" s="10" t="str">
        <f>HYPERLINK("https://pbs.twimg.com/profile_images/1070981281582866432/YGhJz72j.jpg","View")</f>
        <v>View</v>
      </c>
    </row>
    <row r="636" spans="1:21" ht="61.2">
      <c r="A636" s="6">
        <v>43441.003020833334</v>
      </c>
      <c r="B636" s="7" t="str">
        <f>HYPERLINK("https://twitter.com/luis_bergil","@luis_bergil")</f>
        <v>@luis_bergil</v>
      </c>
      <c r="C636" s="8" t="s">
        <v>2410</v>
      </c>
      <c r="D636" s="9" t="s">
        <v>2411</v>
      </c>
      <c r="E636" s="10" t="str">
        <f>HYPERLINK("https://twitter.com/luis_bergil/status/1070816242255171586","1070816242255171586")</f>
        <v>1070816242255171586</v>
      </c>
      <c r="F636" s="16" t="s">
        <v>1143</v>
      </c>
      <c r="G636" s="16" t="s">
        <v>1144</v>
      </c>
      <c r="H636" s="11"/>
      <c r="I636" s="12">
        <v>0</v>
      </c>
      <c r="J636" s="12">
        <v>0</v>
      </c>
      <c r="K636" s="13" t="str">
        <f>HYPERLINK("http://twitter.com","Twitter Web Client")</f>
        <v>Twitter Web Client</v>
      </c>
      <c r="L636" s="12">
        <v>615</v>
      </c>
      <c r="M636" s="12">
        <v>594</v>
      </c>
      <c r="N636" s="12">
        <v>0</v>
      </c>
      <c r="O636" s="14"/>
      <c r="P636" s="6">
        <v>42527.452615740738</v>
      </c>
      <c r="Q636" s="15" t="s">
        <v>2412</v>
      </c>
      <c r="R636" s="18"/>
      <c r="S636" s="11"/>
      <c r="T636" s="11"/>
      <c r="U636" s="10" t="str">
        <f>HYPERLINK("https://pbs.twimg.com/profile_images/751088534673616902/iZJOfS-w.jpg","View")</f>
        <v>View</v>
      </c>
    </row>
    <row r="637" spans="1:21" ht="71.400000000000006">
      <c r="A637" s="6">
        <v>43441.00299768518</v>
      </c>
      <c r="B637" s="7" t="str">
        <f>HYPERLINK("https://twitter.com/sanchezgalera","@sanchezgalera")</f>
        <v>@sanchezgalera</v>
      </c>
      <c r="C637" s="8" t="s">
        <v>2413</v>
      </c>
      <c r="D637" s="9" t="s">
        <v>2414</v>
      </c>
      <c r="E637" s="10" t="str">
        <f>HYPERLINK("https://twitter.com/sanchezgalera/status/1070816233283555329","1070816233283555329")</f>
        <v>1070816233283555329</v>
      </c>
      <c r="F637" s="16" t="s">
        <v>2186</v>
      </c>
      <c r="G637" s="16" t="s">
        <v>2187</v>
      </c>
      <c r="H637" s="11"/>
      <c r="I637" s="12">
        <v>8</v>
      </c>
      <c r="J637" s="12">
        <v>1</v>
      </c>
      <c r="K637" s="13" t="str">
        <f>HYPERLINK("http://twitter.com/download/android","Twitter for Android")</f>
        <v>Twitter for Android</v>
      </c>
      <c r="L637" s="12">
        <v>1005</v>
      </c>
      <c r="M637" s="12">
        <v>398</v>
      </c>
      <c r="N637" s="12">
        <v>41</v>
      </c>
      <c r="O637" s="14"/>
      <c r="P637" s="6">
        <v>40798.544548611113</v>
      </c>
      <c r="Q637" s="15" t="s">
        <v>612</v>
      </c>
      <c r="R637" s="17" t="s">
        <v>2415</v>
      </c>
      <c r="S637" s="16" t="s">
        <v>2416</v>
      </c>
      <c r="T637" s="11"/>
      <c r="U637" s="10" t="str">
        <f>HYPERLINK("https://pbs.twimg.com/profile_images/818403001975107585/qB_BlnrA.jpg","View")</f>
        <v>View</v>
      </c>
    </row>
    <row r="638" spans="1:21" ht="40.799999999999997">
      <c r="A638" s="6">
        <v>43440.999351851853</v>
      </c>
      <c r="B638" s="7" t="str">
        <f>HYPERLINK("https://twitter.com/hectorlozano113","@hectorlozano113")</f>
        <v>@hectorlozano113</v>
      </c>
      <c r="C638" s="8" t="s">
        <v>2417</v>
      </c>
      <c r="D638" s="9" t="s">
        <v>2418</v>
      </c>
      <c r="E638" s="10" t="str">
        <f>HYPERLINK("https://twitter.com/hectorlozano113/status/1070814913789079553","1070814913789079553")</f>
        <v>1070814913789079553</v>
      </c>
      <c r="F638" s="16" t="s">
        <v>2419</v>
      </c>
      <c r="G638" s="11"/>
      <c r="H638" s="11"/>
      <c r="I638" s="12">
        <v>0</v>
      </c>
      <c r="J638" s="12">
        <v>1</v>
      </c>
      <c r="K638" s="13" t="str">
        <f>HYPERLINK("http://instagram.com","Instagram")</f>
        <v>Instagram</v>
      </c>
      <c r="L638" s="12">
        <v>401</v>
      </c>
      <c r="M638" s="12">
        <v>495</v>
      </c>
      <c r="N638" s="12">
        <v>13</v>
      </c>
      <c r="O638" s="14"/>
      <c r="P638" s="6">
        <v>41721.785439814819</v>
      </c>
      <c r="Q638" s="15" t="s">
        <v>2420</v>
      </c>
      <c r="R638" s="25" t="s">
        <v>2421</v>
      </c>
      <c r="S638" s="11"/>
      <c r="T638" s="11"/>
      <c r="U638" s="10" t="str">
        <f>HYPERLINK("https://pbs.twimg.com/profile_images/963900320110825478/NUfIQr5n.jpg","View")</f>
        <v>View</v>
      </c>
    </row>
    <row r="639" spans="1:21" ht="40.799999999999997">
      <c r="A639" s="6">
        <v>43440.998425925922</v>
      </c>
      <c r="B639" s="7" t="str">
        <f>HYPERLINK("https://twitter.com/frenadamente","@frenadamente")</f>
        <v>@frenadamente</v>
      </c>
      <c r="C639" s="8" t="s">
        <v>2422</v>
      </c>
      <c r="D639" s="9" t="s">
        <v>2423</v>
      </c>
      <c r="E639" s="10" t="str">
        <f>HYPERLINK("https://twitter.com/frenadamente/status/1070814575103275009","1070814575103275009")</f>
        <v>1070814575103275009</v>
      </c>
      <c r="F639" s="11"/>
      <c r="G639" s="11"/>
      <c r="H639" s="11"/>
      <c r="I639" s="12">
        <v>1</v>
      </c>
      <c r="J639" s="12">
        <v>1</v>
      </c>
      <c r="K639" s="13" t="str">
        <f>HYPERLINK("https://mobile.twitter.com","Twitter Lite")</f>
        <v>Twitter Lite</v>
      </c>
      <c r="L639" s="12">
        <v>32</v>
      </c>
      <c r="M639" s="12">
        <v>62</v>
      </c>
      <c r="N639" s="12">
        <v>0</v>
      </c>
      <c r="O639" s="14"/>
      <c r="P639" s="6">
        <v>43421.932824074072</v>
      </c>
      <c r="Q639" s="15" t="s">
        <v>2424</v>
      </c>
      <c r="R639" s="17" t="s">
        <v>2425</v>
      </c>
      <c r="S639" s="11"/>
      <c r="T639" s="11"/>
      <c r="U639" s="10" t="str">
        <f>HYPERLINK("https://pbs.twimg.com/profile_images/1063907145152909313/4L_8y1EA.jpg","View")</f>
        <v>View</v>
      </c>
    </row>
    <row r="640" spans="1:21" ht="30.6">
      <c r="A640" s="6">
        <v>43440.998055555552</v>
      </c>
      <c r="B640" s="7" t="str">
        <f>HYPERLINK("https://twitter.com/PedroPabloMartn","@PedroPabloMartn")</f>
        <v>@PedroPabloMartn</v>
      </c>
      <c r="C640" s="8" t="s">
        <v>2426</v>
      </c>
      <c r="D640" s="9" t="s">
        <v>2427</v>
      </c>
      <c r="E640" s="10" t="str">
        <f>HYPERLINK("https://twitter.com/PedroPabloMartn/status/1070814443657936897","1070814443657936897")</f>
        <v>1070814443657936897</v>
      </c>
      <c r="F640" s="11"/>
      <c r="G640" s="11"/>
      <c r="H640" s="11"/>
      <c r="I640" s="12">
        <v>0</v>
      </c>
      <c r="J640" s="12">
        <v>1</v>
      </c>
      <c r="K640" s="13" t="str">
        <f>HYPERLINK("http://twitter.com/download/iphone","Twitter for iPhone")</f>
        <v>Twitter for iPhone</v>
      </c>
      <c r="L640" s="12">
        <v>1048</v>
      </c>
      <c r="M640" s="12">
        <v>479</v>
      </c>
      <c r="N640" s="12">
        <v>21</v>
      </c>
      <c r="O640" s="14"/>
      <c r="P640" s="6">
        <v>40966.715810185182</v>
      </c>
      <c r="Q640" s="15" t="s">
        <v>612</v>
      </c>
      <c r="R640" s="17" t="s">
        <v>2428</v>
      </c>
      <c r="S640" s="11"/>
      <c r="T640" s="11"/>
      <c r="U640" s="10" t="str">
        <f>HYPERLINK("https://pbs.twimg.com/profile_images/511819428468912128/SPb_YBUD.jpeg","View")</f>
        <v>View</v>
      </c>
    </row>
    <row r="641" spans="1:21" ht="61.2">
      <c r="A641" s="6">
        <v>43440.996099537035</v>
      </c>
      <c r="B641" s="7" t="str">
        <f>HYPERLINK("https://twitter.com/TransUPM","@TransUPM")</f>
        <v>@TransUPM</v>
      </c>
      <c r="C641" s="8" t="s">
        <v>293</v>
      </c>
      <c r="D641" s="9" t="s">
        <v>2429</v>
      </c>
      <c r="E641" s="10" t="str">
        <f>HYPERLINK("https://twitter.com/TransUPM/status/1070813734799577090","1070813734799577090")</f>
        <v>1070813734799577090</v>
      </c>
      <c r="F641" s="11"/>
      <c r="G641" s="11"/>
      <c r="H641" s="11"/>
      <c r="I641" s="12">
        <v>1</v>
      </c>
      <c r="J641" s="12">
        <v>1</v>
      </c>
      <c r="K641" s="13" t="str">
        <f>HYPERLINK("http://twitter.com/#!/download/ipad","Twitter for iPad")</f>
        <v>Twitter for iPad</v>
      </c>
      <c r="L641" s="12">
        <v>742</v>
      </c>
      <c r="M641" s="12">
        <v>748</v>
      </c>
      <c r="N641" s="12">
        <v>25</v>
      </c>
      <c r="O641" s="14"/>
      <c r="P641" s="6">
        <v>40990.723449074074</v>
      </c>
      <c r="Q641" s="15" t="s">
        <v>296</v>
      </c>
      <c r="R641" s="17" t="s">
        <v>297</v>
      </c>
      <c r="S641" s="11"/>
      <c r="T641" s="11"/>
      <c r="U641" s="10" t="str">
        <f>HYPERLINK("https://pbs.twimg.com/profile_images/991114054189109250/998-LfOp.jpg","View")</f>
        <v>View</v>
      </c>
    </row>
    <row r="642" spans="1:21" ht="51">
      <c r="A642" s="6">
        <v>43440.989791666667</v>
      </c>
      <c r="B642" s="7" t="str">
        <f>HYPERLINK("https://twitter.com/Mayeutico11","@Mayeutico11")</f>
        <v>@Mayeutico11</v>
      </c>
      <c r="C642" s="8" t="s">
        <v>2430</v>
      </c>
      <c r="D642" s="9" t="s">
        <v>2431</v>
      </c>
      <c r="E642" s="10" t="str">
        <f>HYPERLINK("https://twitter.com/Mayeutico11/status/1070811449029734402","1070811449029734402")</f>
        <v>1070811449029734402</v>
      </c>
      <c r="F642" s="11"/>
      <c r="G642" s="11"/>
      <c r="H642" s="11"/>
      <c r="I642" s="12">
        <v>8</v>
      </c>
      <c r="J642" s="12">
        <v>8</v>
      </c>
      <c r="K642" s="13" t="str">
        <f>HYPERLINK("http://twitter.com/download/android","Twitter for Android")</f>
        <v>Twitter for Android</v>
      </c>
      <c r="L642" s="12">
        <v>415</v>
      </c>
      <c r="M642" s="12">
        <v>857</v>
      </c>
      <c r="N642" s="12">
        <v>1</v>
      </c>
      <c r="O642" s="14"/>
      <c r="P642" s="6">
        <v>43266.882974537039</v>
      </c>
      <c r="Q642" s="11"/>
      <c r="R642" s="17" t="s">
        <v>2432</v>
      </c>
      <c r="S642" s="11"/>
      <c r="T642" s="11"/>
      <c r="U642" s="10" t="str">
        <f>HYPERLINK("https://pbs.twimg.com/profile_images/1032637928680382464/Nj9XQ691.jpg","View")</f>
        <v>View</v>
      </c>
    </row>
    <row r="643" spans="1:21" ht="81.599999999999994">
      <c r="A643" s="6">
        <v>43440.988009259258</v>
      </c>
      <c r="B643" s="7" t="str">
        <f>HYPERLINK("https://twitter.com/ElGranYago","@ElGranYago")</f>
        <v>@ElGranYago</v>
      </c>
      <c r="C643" s="8" t="s">
        <v>2433</v>
      </c>
      <c r="D643" s="9" t="s">
        <v>2434</v>
      </c>
      <c r="E643" s="10" t="str">
        <f>HYPERLINK("https://twitter.com/ElGranYago/status/1070810800951046144","1070810800951046144")</f>
        <v>1070810800951046144</v>
      </c>
      <c r="F643" s="15" t="s">
        <v>2435</v>
      </c>
      <c r="G643" s="11"/>
      <c r="H643" s="11"/>
      <c r="I643" s="12">
        <v>0</v>
      </c>
      <c r="J643" s="12">
        <v>0</v>
      </c>
      <c r="K643" s="13" t="str">
        <f>HYPERLINK("https://mobile.twitter.com","Twitter Lite")</f>
        <v>Twitter Lite</v>
      </c>
      <c r="L643" s="12">
        <v>1245</v>
      </c>
      <c r="M643" s="12">
        <v>4431</v>
      </c>
      <c r="N643" s="12">
        <v>25</v>
      </c>
      <c r="O643" s="14"/>
      <c r="P643" s="6">
        <v>41465.533634259264</v>
      </c>
      <c r="Q643" s="15" t="s">
        <v>2436</v>
      </c>
      <c r="R643" s="17" t="s">
        <v>2437</v>
      </c>
      <c r="S643" s="16" t="s">
        <v>2438</v>
      </c>
      <c r="T643" s="11"/>
      <c r="U643" s="10" t="str">
        <f>HYPERLINK("https://pbs.twimg.com/profile_images/1068660546021527552/a0zqNigL.jpg","View")</f>
        <v>View</v>
      </c>
    </row>
    <row r="644" spans="1:21" ht="51">
      <c r="A644" s="6">
        <v>43440.986956018518</v>
      </c>
      <c r="B644" s="7" t="str">
        <f>HYPERLINK("https://twitter.com/asunagullo06","@asunagullo06")</f>
        <v>@asunagullo06</v>
      </c>
      <c r="C644" s="8" t="s">
        <v>2439</v>
      </c>
      <c r="D644" s="9" t="s">
        <v>2440</v>
      </c>
      <c r="E644" s="10" t="str">
        <f>HYPERLINK("https://twitter.com/asunagullo06/status/1070810419634286594","1070810419634286594")</f>
        <v>1070810419634286594</v>
      </c>
      <c r="F644" s="16" t="s">
        <v>778</v>
      </c>
      <c r="G644" s="11"/>
      <c r="H644" s="11"/>
      <c r="I644" s="12">
        <v>0</v>
      </c>
      <c r="J644" s="12">
        <v>0</v>
      </c>
      <c r="K644" s="13" t="str">
        <f>HYPERLINK("http://twitter.com","Twitter Web Client")</f>
        <v>Twitter Web Client</v>
      </c>
      <c r="L644" s="12">
        <v>60</v>
      </c>
      <c r="M644" s="12">
        <v>219</v>
      </c>
      <c r="N644" s="12">
        <v>0</v>
      </c>
      <c r="O644" s="14"/>
      <c r="P644" s="6">
        <v>42014.122627314813</v>
      </c>
      <c r="Q644" s="15" t="s">
        <v>185</v>
      </c>
      <c r="R644" s="18"/>
      <c r="S644" s="11"/>
      <c r="T644" s="11"/>
      <c r="U644" s="10" t="str">
        <f>HYPERLINK("https://pbs.twimg.com/profile_images/727131606553645056/KUr0Pr_3.jpg","View")</f>
        <v>View</v>
      </c>
    </row>
    <row r="645" spans="1:21" ht="61.2">
      <c r="A645" s="6">
        <v>43440.986631944441</v>
      </c>
      <c r="B645" s="7" t="str">
        <f>HYPERLINK("https://twitter.com/DuplaMaria","@DuplaMaria")</f>
        <v>@DuplaMaria</v>
      </c>
      <c r="C645" s="8" t="s">
        <v>2127</v>
      </c>
      <c r="D645" s="9" t="s">
        <v>2441</v>
      </c>
      <c r="E645" s="10" t="str">
        <f>HYPERLINK("https://twitter.com/DuplaMaria/status/1070810304404164608","1070810304404164608")</f>
        <v>1070810304404164608</v>
      </c>
      <c r="F645" s="11"/>
      <c r="G645" s="16" t="s">
        <v>2442</v>
      </c>
      <c r="H645" s="11"/>
      <c r="I645" s="12">
        <v>3</v>
      </c>
      <c r="J645" s="12">
        <v>5</v>
      </c>
      <c r="K645" s="13" t="str">
        <f>HYPERLINK("http://twitter.com/download/iphone","Twitter for iPhone")</f>
        <v>Twitter for iPhone</v>
      </c>
      <c r="L645" s="12">
        <v>1269</v>
      </c>
      <c r="M645" s="12">
        <v>211</v>
      </c>
      <c r="N645" s="12">
        <v>4</v>
      </c>
      <c r="O645" s="14"/>
      <c r="P645" s="6">
        <v>42114.73914351852</v>
      </c>
      <c r="Q645" s="15" t="s">
        <v>986</v>
      </c>
      <c r="R645" s="17" t="s">
        <v>2130</v>
      </c>
      <c r="S645" s="11"/>
      <c r="T645" s="11"/>
      <c r="U645" s="10" t="str">
        <f>HYPERLINK("https://pbs.twimg.com/profile_images/1063379704403628032/GXnUDrxV.jpg","View")</f>
        <v>View</v>
      </c>
    </row>
    <row r="646" spans="1:21" ht="102">
      <c r="A646" s="6">
        <v>43440.986122685186</v>
      </c>
      <c r="B646" s="7" t="str">
        <f>HYPERLINK("https://twitter.com/memoloamimismo1","@memoloamimismo1")</f>
        <v>@memoloamimismo1</v>
      </c>
      <c r="C646" s="8" t="s">
        <v>2443</v>
      </c>
      <c r="D646" s="9" t="s">
        <v>2444</v>
      </c>
      <c r="E646" s="10" t="str">
        <f>HYPERLINK("https://twitter.com/memoloamimismo1/status/1070810117157867520","1070810117157867520")</f>
        <v>1070810117157867520</v>
      </c>
      <c r="F646" s="15" t="s">
        <v>2445</v>
      </c>
      <c r="G646" s="11"/>
      <c r="H646" s="11"/>
      <c r="I646" s="12">
        <v>0</v>
      </c>
      <c r="J646" s="12">
        <v>0</v>
      </c>
      <c r="K646" s="13" t="str">
        <f t="shared" ref="K646:K648" si="156">HYPERLINK("http://twitter.com/download/android","Twitter for Android")</f>
        <v>Twitter for Android</v>
      </c>
      <c r="L646" s="12">
        <v>254</v>
      </c>
      <c r="M646" s="12">
        <v>196</v>
      </c>
      <c r="N646" s="12">
        <v>1</v>
      </c>
      <c r="O646" s="14"/>
      <c r="P646" s="6">
        <v>40949.509699074071</v>
      </c>
      <c r="Q646" s="15" t="s">
        <v>2446</v>
      </c>
      <c r="R646" s="17" t="s">
        <v>2447</v>
      </c>
      <c r="S646" s="11"/>
      <c r="T646" s="11"/>
      <c r="U646" s="10" t="str">
        <f>HYPERLINK("https://pbs.twimg.com/profile_images/1069668803922006016/K8krNDUM.jpg","View")</f>
        <v>View</v>
      </c>
    </row>
    <row r="647" spans="1:21" ht="30.6">
      <c r="A647" s="6">
        <v>43440.983518518522</v>
      </c>
      <c r="B647" s="7" t="str">
        <f>HYPERLINK("https://twitter.com/Santi_ABASCAL","@Santi_ABASCAL")</f>
        <v>@Santi_ABASCAL</v>
      </c>
      <c r="C647" s="8" t="s">
        <v>422</v>
      </c>
      <c r="D647" s="9" t="s">
        <v>2448</v>
      </c>
      <c r="E647" s="10" t="str">
        <f>HYPERLINK("https://twitter.com/Santi_ABASCAL/status/1070809176320937985","1070809176320937985")</f>
        <v>1070809176320937985</v>
      </c>
      <c r="F647" s="15" t="s">
        <v>2449</v>
      </c>
      <c r="G647" s="11"/>
      <c r="H647" s="11"/>
      <c r="I647" s="12">
        <v>2765</v>
      </c>
      <c r="J647" s="12">
        <v>7117</v>
      </c>
      <c r="K647" s="13" t="str">
        <f t="shared" si="156"/>
        <v>Twitter for Android</v>
      </c>
      <c r="L647" s="12">
        <v>136306</v>
      </c>
      <c r="M647" s="12">
        <v>3909</v>
      </c>
      <c r="N647" s="12">
        <v>965</v>
      </c>
      <c r="O647" s="23" t="s">
        <v>89</v>
      </c>
      <c r="P647" s="6">
        <v>40606.716446759259</v>
      </c>
      <c r="Q647" s="15" t="s">
        <v>426</v>
      </c>
      <c r="R647" s="17" t="s">
        <v>427</v>
      </c>
      <c r="S647" s="16" t="s">
        <v>428</v>
      </c>
      <c r="T647" s="11"/>
      <c r="U647" s="10" t="str">
        <f>HYPERLINK("https://pbs.twimg.com/profile_images/1010488787686879232/2CnqYKlD.jpg","View")</f>
        <v>View</v>
      </c>
    </row>
    <row r="648" spans="1:21" ht="81.599999999999994">
      <c r="A648" s="6">
        <v>43440.98065972222</v>
      </c>
      <c r="B648" s="7" t="str">
        <f>HYPERLINK("https://twitter.com/CarolinaECardon","@CarolinaECardon")</f>
        <v>@CarolinaECardon</v>
      </c>
      <c r="C648" s="8" t="s">
        <v>2450</v>
      </c>
      <c r="D648" s="9" t="s">
        <v>2451</v>
      </c>
      <c r="E648" s="10" t="str">
        <f>HYPERLINK("https://twitter.com/CarolinaECardon/status/1070808140281724928","1070808140281724928")</f>
        <v>1070808140281724928</v>
      </c>
      <c r="F648" s="15" t="s">
        <v>887</v>
      </c>
      <c r="G648" s="16" t="s">
        <v>888</v>
      </c>
      <c r="H648" s="11"/>
      <c r="I648" s="12">
        <v>0</v>
      </c>
      <c r="J648" s="12">
        <v>0</v>
      </c>
      <c r="K648" s="13" t="str">
        <f t="shared" si="156"/>
        <v>Twitter for Android</v>
      </c>
      <c r="L648" s="12">
        <v>1115</v>
      </c>
      <c r="M648" s="12">
        <v>1318</v>
      </c>
      <c r="N648" s="12">
        <v>38</v>
      </c>
      <c r="O648" s="14"/>
      <c r="P648" s="6">
        <v>41538.922210648147</v>
      </c>
      <c r="Q648" s="15" t="s">
        <v>612</v>
      </c>
      <c r="R648" s="17" t="s">
        <v>2452</v>
      </c>
      <c r="S648" s="11"/>
      <c r="T648" s="11"/>
      <c r="U648" s="10" t="str">
        <f>HYPERLINK("https://pbs.twimg.com/profile_images/1008582926487998464/jrAt2bqh.jpg","View")</f>
        <v>View</v>
      </c>
    </row>
    <row r="649" spans="1:21" ht="20.399999999999999">
      <c r="A649" s="6">
        <v>43440.980312500003</v>
      </c>
      <c r="B649" s="7" t="str">
        <f>HYPERLINK("https://twitter.com/jordinogueras61","@jordinogueras61")</f>
        <v>@jordinogueras61</v>
      </c>
      <c r="C649" s="8" t="s">
        <v>2453</v>
      </c>
      <c r="D649" s="9" t="s">
        <v>2454</v>
      </c>
      <c r="E649" s="10" t="str">
        <f>HYPERLINK("https://twitter.com/jordinogueras61/status/1070808014381301766","1070808014381301766")</f>
        <v>1070808014381301766</v>
      </c>
      <c r="F649" s="11"/>
      <c r="G649" s="16" t="s">
        <v>2455</v>
      </c>
      <c r="H649" s="11"/>
      <c r="I649" s="12">
        <v>29</v>
      </c>
      <c r="J649" s="12">
        <v>53</v>
      </c>
      <c r="K649" s="13" t="str">
        <f t="shared" ref="K649:K651" si="157">HYPERLINK("http://twitter.com/download/iphone","Twitter for iPhone")</f>
        <v>Twitter for iPhone</v>
      </c>
      <c r="L649" s="12">
        <v>5700</v>
      </c>
      <c r="M649" s="12">
        <v>2398</v>
      </c>
      <c r="N649" s="12">
        <v>54</v>
      </c>
      <c r="O649" s="14"/>
      <c r="P649" s="6">
        <v>40841.809432870374</v>
      </c>
      <c r="Q649" s="15" t="s">
        <v>2456</v>
      </c>
      <c r="R649" s="17" t="s">
        <v>2457</v>
      </c>
      <c r="S649" s="11"/>
      <c r="T649" s="11"/>
      <c r="U649" s="10" t="str">
        <f>HYPERLINK("https://pbs.twimg.com/profile_images/912081977624469504/VaWDKBvj.jpg","View")</f>
        <v>View</v>
      </c>
    </row>
    <row r="650" spans="1:21" ht="30.6">
      <c r="A650" s="6">
        <v>43440.980254629627</v>
      </c>
      <c r="B650" s="7" t="str">
        <f>HYPERLINK("https://twitter.com/Jarlaxxe","@Jarlaxxe")</f>
        <v>@Jarlaxxe</v>
      </c>
      <c r="C650" s="8" t="s">
        <v>2458</v>
      </c>
      <c r="D650" s="9" t="s">
        <v>2459</v>
      </c>
      <c r="E650" s="10" t="str">
        <f>HYPERLINK("https://twitter.com/Jarlaxxe/status/1070807991635664896","1070807991635664896")</f>
        <v>1070807991635664896</v>
      </c>
      <c r="F650" s="11"/>
      <c r="G650" s="11"/>
      <c r="H650" s="11"/>
      <c r="I650" s="12">
        <v>0</v>
      </c>
      <c r="J650" s="12">
        <v>1</v>
      </c>
      <c r="K650" s="13" t="str">
        <f t="shared" si="157"/>
        <v>Twitter for iPhone</v>
      </c>
      <c r="L650" s="12">
        <v>256</v>
      </c>
      <c r="M650" s="12">
        <v>243</v>
      </c>
      <c r="N650" s="12">
        <v>24</v>
      </c>
      <c r="O650" s="14"/>
      <c r="P650" s="6">
        <v>40747.073055555556</v>
      </c>
      <c r="Q650" s="15" t="s">
        <v>2460</v>
      </c>
      <c r="R650" s="17" t="s">
        <v>2461</v>
      </c>
      <c r="S650" s="16" t="s">
        <v>2462</v>
      </c>
      <c r="T650" s="11"/>
      <c r="U650" s="10" t="str">
        <f>HYPERLINK("https://pbs.twimg.com/profile_images/844667420186988544/NN8aFKnr.jpg","View")</f>
        <v>View</v>
      </c>
    </row>
    <row r="651" spans="1:21" ht="30.6">
      <c r="A651" s="6">
        <v>43440.978773148148</v>
      </c>
      <c r="B651" s="7" t="str">
        <f>HYPERLINK("https://twitter.com/ASRphotographer","@ASRphotographer")</f>
        <v>@ASRphotographer</v>
      </c>
      <c r="C651" s="8" t="s">
        <v>2463</v>
      </c>
      <c r="D651" s="9" t="s">
        <v>2464</v>
      </c>
      <c r="E651" s="10" t="str">
        <f>HYPERLINK("https://twitter.com/ASRphotographer/status/1070807455368650752","1070807455368650752")</f>
        <v>1070807455368650752</v>
      </c>
      <c r="F651" s="11"/>
      <c r="G651" s="11"/>
      <c r="H651" s="11"/>
      <c r="I651" s="12">
        <v>0</v>
      </c>
      <c r="J651" s="12">
        <v>0</v>
      </c>
      <c r="K651" s="13" t="str">
        <f t="shared" si="157"/>
        <v>Twitter for iPhone</v>
      </c>
      <c r="L651" s="12">
        <v>921</v>
      </c>
      <c r="M651" s="12">
        <v>480</v>
      </c>
      <c r="N651" s="12">
        <v>26</v>
      </c>
      <c r="O651" s="14"/>
      <c r="P651" s="6">
        <v>40831.883402777778</v>
      </c>
      <c r="Q651" s="15" t="s">
        <v>612</v>
      </c>
      <c r="R651" s="17" t="s">
        <v>2465</v>
      </c>
      <c r="S651" s="11"/>
      <c r="T651" s="11"/>
      <c r="U651" s="10" t="str">
        <f>HYPERLINK("https://pbs.twimg.com/profile_images/1053303274894430208/EEEfljQI.jpg","View")</f>
        <v>View</v>
      </c>
    </row>
    <row r="652" spans="1:21" ht="30.6">
      <c r="A652" s="6">
        <v>43440.974872685183</v>
      </c>
      <c r="B652" s="7" t="str">
        <f>HYPERLINK("https://twitter.com/ERDEJEREZ","@ERDEJEREZ")</f>
        <v>@ERDEJEREZ</v>
      </c>
      <c r="C652" s="8" t="s">
        <v>426</v>
      </c>
      <c r="D652" s="9" t="s">
        <v>2466</v>
      </c>
      <c r="E652" s="10" t="str">
        <f>HYPERLINK("https://twitter.com/ERDEJEREZ/status/1070806040780963840","1070806040780963840")</f>
        <v>1070806040780963840</v>
      </c>
      <c r="F652" s="11"/>
      <c r="G652" s="16" t="s">
        <v>2467</v>
      </c>
      <c r="H652" s="11"/>
      <c r="I652" s="12">
        <v>0</v>
      </c>
      <c r="J652" s="12">
        <v>2</v>
      </c>
      <c r="K652" s="13" t="str">
        <f t="shared" ref="K652:K653" si="158">HYPERLINK("http://twitter.com/download/android","Twitter for Android")</f>
        <v>Twitter for Android</v>
      </c>
      <c r="L652" s="12">
        <v>160</v>
      </c>
      <c r="M652" s="12">
        <v>143</v>
      </c>
      <c r="N652" s="12">
        <v>1</v>
      </c>
      <c r="O652" s="14"/>
      <c r="P652" s="6">
        <v>40356.838599537034</v>
      </c>
      <c r="Q652" s="11"/>
      <c r="R652" s="17" t="s">
        <v>2468</v>
      </c>
      <c r="S652" s="11"/>
      <c r="T652" s="11"/>
      <c r="U652" s="10" t="str">
        <f>HYPERLINK("https://pbs.twimg.com/profile_images/1025909586568663040/b6IHq4Xi.jpg","View")</f>
        <v>View</v>
      </c>
    </row>
    <row r="653" spans="1:21" ht="91.8">
      <c r="A653" s="6">
        <v>43440.972534722227</v>
      </c>
      <c r="B653" s="7" t="str">
        <f>HYPERLINK("https://twitter.com/Xurxo08063601","@Xurxo08063601")</f>
        <v>@Xurxo08063601</v>
      </c>
      <c r="C653" s="8" t="s">
        <v>2151</v>
      </c>
      <c r="D653" s="9" t="s">
        <v>2469</v>
      </c>
      <c r="E653" s="10" t="str">
        <f>HYPERLINK("https://twitter.com/Xurxo08063601/status/1070805192168390656","1070805192168390656")</f>
        <v>1070805192168390656</v>
      </c>
      <c r="F653" s="15" t="s">
        <v>887</v>
      </c>
      <c r="G653" s="16" t="s">
        <v>888</v>
      </c>
      <c r="H653" s="11"/>
      <c r="I653" s="12">
        <v>1</v>
      </c>
      <c r="J653" s="12">
        <v>1</v>
      </c>
      <c r="K653" s="13" t="str">
        <f t="shared" si="158"/>
        <v>Twitter for Android</v>
      </c>
      <c r="L653" s="12">
        <v>13</v>
      </c>
      <c r="M653" s="12">
        <v>31</v>
      </c>
      <c r="N653" s="12">
        <v>0</v>
      </c>
      <c r="O653" s="14"/>
      <c r="P653" s="6">
        <v>43438.864108796297</v>
      </c>
      <c r="Q653" s="15" t="s">
        <v>2154</v>
      </c>
      <c r="R653" s="17" t="s">
        <v>2155</v>
      </c>
      <c r="S653" s="11"/>
      <c r="T653" s="11"/>
      <c r="U653" s="10" t="str">
        <f>HYPERLINK("https://pbs.twimg.com/profile_images/1070042473878249473/6M0pBtd7.jpg","View")</f>
        <v>View</v>
      </c>
    </row>
    <row r="654" spans="1:21" ht="40.799999999999997">
      <c r="A654" s="6">
        <v>43440.971689814818</v>
      </c>
      <c r="B654" s="7" t="str">
        <f>HYPERLINK("https://twitter.com/ElAngelFacha","@ElAngelFacha")</f>
        <v>@ElAngelFacha</v>
      </c>
      <c r="C654" s="8" t="s">
        <v>246</v>
      </c>
      <c r="D654" s="9" t="s">
        <v>2470</v>
      </c>
      <c r="E654" s="10" t="str">
        <f>HYPERLINK("https://twitter.com/ElAngelFacha/status/1070804888517517312","1070804888517517312")</f>
        <v>1070804888517517312</v>
      </c>
      <c r="F654" s="16" t="s">
        <v>2471</v>
      </c>
      <c r="G654" s="11"/>
      <c r="H654" s="11"/>
      <c r="I654" s="12">
        <v>27</v>
      </c>
      <c r="J654" s="12">
        <v>22</v>
      </c>
      <c r="K654" s="13" t="str">
        <f>HYPERLINK("http://twitter.com","Twitter Web Client")</f>
        <v>Twitter Web Client</v>
      </c>
      <c r="L654" s="12">
        <v>1472</v>
      </c>
      <c r="M654" s="12">
        <v>2060</v>
      </c>
      <c r="N654" s="12">
        <v>4</v>
      </c>
      <c r="O654" s="14"/>
      <c r="P654" s="6">
        <v>42923.928784722222</v>
      </c>
      <c r="Q654" s="15" t="s">
        <v>249</v>
      </c>
      <c r="R654" s="17" t="s">
        <v>250</v>
      </c>
      <c r="S654" s="11"/>
      <c r="T654" s="11"/>
      <c r="U654" s="10" t="str">
        <f>HYPERLINK("https://pbs.twimg.com/profile_images/1068670609935208450/c84QvuV4.jpg","View")</f>
        <v>View</v>
      </c>
    </row>
    <row r="655" spans="1:21" ht="71.400000000000006">
      <c r="A655" s="6">
        <v>43440.967777777776</v>
      </c>
      <c r="B655" s="7" t="str">
        <f>HYPERLINK("https://twitter.com/derechanacional","@derechanacional")</f>
        <v>@derechanacional</v>
      </c>
      <c r="C655" s="8" t="s">
        <v>809</v>
      </c>
      <c r="D655" s="9" t="s">
        <v>2472</v>
      </c>
      <c r="E655" s="10" t="str">
        <f>HYPERLINK("https://twitter.com/derechanacional/status/1070803468082966530","1070803468082966530")</f>
        <v>1070803468082966530</v>
      </c>
      <c r="F655" s="16" t="s">
        <v>260</v>
      </c>
      <c r="G655" s="16" t="s">
        <v>261</v>
      </c>
      <c r="H655" s="11"/>
      <c r="I655" s="12">
        <v>0</v>
      </c>
      <c r="J655" s="12">
        <v>0</v>
      </c>
      <c r="K655" s="13" t="str">
        <f>HYPERLINK("https://mobile.twitter.com","Twitter Lite")</f>
        <v>Twitter Lite</v>
      </c>
      <c r="L655" s="12">
        <v>12444</v>
      </c>
      <c r="M655" s="12">
        <v>939</v>
      </c>
      <c r="N655" s="12">
        <v>57</v>
      </c>
      <c r="O655" s="14"/>
      <c r="P655" s="6">
        <v>40205.043692129628</v>
      </c>
      <c r="Q655" s="15" t="s">
        <v>185</v>
      </c>
      <c r="R655" s="17" t="s">
        <v>812</v>
      </c>
      <c r="S655" s="16" t="s">
        <v>813</v>
      </c>
      <c r="T655" s="11"/>
      <c r="U655" s="10" t="str">
        <f>HYPERLINK("https://pbs.twimg.com/profile_images/1003817558150131713/IX1-gpQG.jpg","View")</f>
        <v>View</v>
      </c>
    </row>
    <row r="656" spans="1:21" ht="30.6">
      <c r="A656" s="6">
        <v>43440.966562500005</v>
      </c>
      <c r="B656" s="7" t="str">
        <f>HYPERLINK("https://twitter.com/nndriu","@nndriu")</f>
        <v>@nndriu</v>
      </c>
      <c r="C656" s="8" t="s">
        <v>2473</v>
      </c>
      <c r="D656" s="9" t="s">
        <v>2474</v>
      </c>
      <c r="E656" s="10" t="str">
        <f>HYPERLINK("https://twitter.com/nndriu/status/1070803028293419008","1070803028293419008")</f>
        <v>1070803028293419008</v>
      </c>
      <c r="F656" s="11"/>
      <c r="G656" s="11"/>
      <c r="H656" s="11"/>
      <c r="I656" s="12">
        <v>0</v>
      </c>
      <c r="J656" s="12">
        <v>0</v>
      </c>
      <c r="K656" s="13" t="str">
        <f>HYPERLINK("http://twitter.com","Twitter Web Client")</f>
        <v>Twitter Web Client</v>
      </c>
      <c r="L656" s="12">
        <v>37</v>
      </c>
      <c r="M656" s="12">
        <v>190</v>
      </c>
      <c r="N656" s="12">
        <v>0</v>
      </c>
      <c r="O656" s="14"/>
      <c r="P656" s="6">
        <v>43347.834386574075</v>
      </c>
      <c r="Q656" s="11"/>
      <c r="R656" s="17" t="s">
        <v>2475</v>
      </c>
      <c r="S656" s="11"/>
      <c r="T656" s="11"/>
      <c r="U656" s="10" t="str">
        <f>HYPERLINK("https://pbs.twimg.com/profile_images/1054479085316030464/Wm_b3uk1.jpg","View")</f>
        <v>View</v>
      </c>
    </row>
    <row r="657" spans="1:21" ht="40.799999999999997">
      <c r="A657" s="6">
        <v>43440.966423611113</v>
      </c>
      <c r="B657" s="7" t="str">
        <f>HYPERLINK("https://twitter.com/Ke_Les_Den","@Ke_Les_Den")</f>
        <v>@Ke_Les_Den</v>
      </c>
      <c r="C657" s="8" t="s">
        <v>599</v>
      </c>
      <c r="D657" s="9" t="s">
        <v>2476</v>
      </c>
      <c r="E657" s="10" t="str">
        <f>HYPERLINK("https://twitter.com/Ke_Les_Den/status/1070802979886952448","1070802979886952448")</f>
        <v>1070802979886952448</v>
      </c>
      <c r="F657" s="11"/>
      <c r="G657" s="16" t="s">
        <v>2477</v>
      </c>
      <c r="H657" s="11"/>
      <c r="I657" s="12">
        <v>2</v>
      </c>
      <c r="J657" s="12">
        <v>13</v>
      </c>
      <c r="K657" s="13" t="str">
        <f>HYPERLINK("http://twitter.com/download/android","Twitter for Android")</f>
        <v>Twitter for Android</v>
      </c>
      <c r="L657" s="12">
        <v>862</v>
      </c>
      <c r="M657" s="12">
        <v>1970</v>
      </c>
      <c r="N657" s="12">
        <v>1</v>
      </c>
      <c r="O657" s="14"/>
      <c r="P657" s="6">
        <v>42849.633483796293</v>
      </c>
      <c r="Q657" s="11"/>
      <c r="R657" s="17" t="s">
        <v>602</v>
      </c>
      <c r="S657" s="11"/>
      <c r="T657" s="11"/>
      <c r="U657" s="10" t="str">
        <f>HYPERLINK("https://pbs.twimg.com/profile_images/856777751755358208/AquT2MXe.jpg","View")</f>
        <v>View</v>
      </c>
    </row>
    <row r="658" spans="1:21" ht="20.399999999999999">
      <c r="A658" s="6">
        <v>43440.965324074074</v>
      </c>
      <c r="B658" s="7" t="str">
        <f>HYPERLINK("https://twitter.com/lopez_oscar0067","@lopez_oscar0067")</f>
        <v>@lopez_oscar0067</v>
      </c>
      <c r="C658" s="8" t="s">
        <v>2478</v>
      </c>
      <c r="D658" s="9" t="s">
        <v>2479</v>
      </c>
      <c r="E658" s="10" t="str">
        <f>HYPERLINK("https://twitter.com/lopez_oscar0067/status/1070802578840190977","1070802578840190977")</f>
        <v>1070802578840190977</v>
      </c>
      <c r="F658" s="11"/>
      <c r="G658" s="11"/>
      <c r="H658" s="11"/>
      <c r="I658" s="12">
        <v>0</v>
      </c>
      <c r="J658" s="12">
        <v>0</v>
      </c>
      <c r="K658" s="13" t="str">
        <f>HYPERLINK("https://mobile.twitter.com","Twitter Lite")</f>
        <v>Twitter Lite</v>
      </c>
      <c r="L658" s="12">
        <v>1685</v>
      </c>
      <c r="M658" s="12">
        <v>1798</v>
      </c>
      <c r="N658" s="12">
        <v>1</v>
      </c>
      <c r="O658" s="14"/>
      <c r="P658" s="6">
        <v>42584.846122685187</v>
      </c>
      <c r="Q658" s="15" t="s">
        <v>2171</v>
      </c>
      <c r="R658" s="17" t="s">
        <v>2480</v>
      </c>
      <c r="S658" s="11"/>
      <c r="T658" s="11"/>
      <c r="U658" s="10" t="str">
        <f>HYPERLINK("https://pbs.twimg.com/profile_images/1028332022492803072/TWzdwrEL.jpg","View")</f>
        <v>View</v>
      </c>
    </row>
    <row r="659" spans="1:21" ht="81.599999999999994">
      <c r="A659" s="6">
        <v>43440.964282407411</v>
      </c>
      <c r="B659" s="7" t="str">
        <f>HYPERLINK("https://twitter.com/Santi_ABASCAL","@Santi_ABASCAL")</f>
        <v>@Santi_ABASCAL</v>
      </c>
      <c r="C659" s="8" t="s">
        <v>422</v>
      </c>
      <c r="D659" s="9" t="s">
        <v>2481</v>
      </c>
      <c r="E659" s="10" t="str">
        <f>HYPERLINK("https://twitter.com/Santi_ABASCAL/status/1070802202787241984","1070802202787241984")</f>
        <v>1070802202787241984</v>
      </c>
      <c r="F659" s="15" t="s">
        <v>887</v>
      </c>
      <c r="G659" s="16" t="s">
        <v>888</v>
      </c>
      <c r="H659" s="11"/>
      <c r="I659" s="12">
        <v>3001</v>
      </c>
      <c r="J659" s="12">
        <v>4893</v>
      </c>
      <c r="K659" s="13" t="str">
        <f>HYPERLINK("http://twitter.com/download/android","Twitter for Android")</f>
        <v>Twitter for Android</v>
      </c>
      <c r="L659" s="12">
        <v>136306</v>
      </c>
      <c r="M659" s="12">
        <v>3909</v>
      </c>
      <c r="N659" s="12">
        <v>965</v>
      </c>
      <c r="O659" s="23" t="s">
        <v>89</v>
      </c>
      <c r="P659" s="6">
        <v>40606.716446759259</v>
      </c>
      <c r="Q659" s="15" t="s">
        <v>426</v>
      </c>
      <c r="R659" s="17" t="s">
        <v>427</v>
      </c>
      <c r="S659" s="16" t="s">
        <v>428</v>
      </c>
      <c r="T659" s="11"/>
      <c r="U659" s="10" t="str">
        <f>HYPERLINK("https://pbs.twimg.com/profile_images/1010488787686879232/2CnqYKlD.jpg","View")</f>
        <v>View</v>
      </c>
    </row>
    <row r="660" spans="1:21" ht="71.400000000000006">
      <c r="A660" s="6">
        <v>43440.961747685185</v>
      </c>
      <c r="B660" s="7" t="str">
        <f>HYPERLINK("https://twitter.com/riduran_p","@riduran_p")</f>
        <v>@riduran_p</v>
      </c>
      <c r="C660" s="8" t="s">
        <v>2235</v>
      </c>
      <c r="D660" s="9" t="s">
        <v>2482</v>
      </c>
      <c r="E660" s="10" t="str">
        <f>HYPERLINK("https://twitter.com/riduran_p/status/1070801283018342403","1070801283018342403")</f>
        <v>1070801283018342403</v>
      </c>
      <c r="F660" s="16" t="s">
        <v>740</v>
      </c>
      <c r="G660" s="16" t="s">
        <v>741</v>
      </c>
      <c r="H660" s="11"/>
      <c r="I660" s="12">
        <v>3</v>
      </c>
      <c r="J660" s="12">
        <v>7</v>
      </c>
      <c r="K660" s="13" t="str">
        <f t="shared" ref="K660:K661" si="159">HYPERLINK("http://twitter.com","Twitter Web Client")</f>
        <v>Twitter Web Client</v>
      </c>
      <c r="L660" s="12">
        <v>8543</v>
      </c>
      <c r="M660" s="12">
        <v>7522</v>
      </c>
      <c r="N660" s="12">
        <v>22</v>
      </c>
      <c r="O660" s="14"/>
      <c r="P660" s="6">
        <v>40678.594918981486</v>
      </c>
      <c r="Q660" s="15" t="s">
        <v>426</v>
      </c>
      <c r="R660" s="17" t="s">
        <v>2238</v>
      </c>
      <c r="S660" s="16" t="s">
        <v>2239</v>
      </c>
      <c r="T660" s="11"/>
      <c r="U660" s="10" t="str">
        <f>HYPERLINK("https://pbs.twimg.com/profile_images/972822677244272640/23HaWXad.jpg","View")</f>
        <v>View</v>
      </c>
    </row>
    <row r="661" spans="1:21" ht="40.799999999999997">
      <c r="A661" s="6">
        <v>43440.960127314815</v>
      </c>
      <c r="B661" s="7" t="str">
        <f>HYPERLINK("https://twitter.com/danierdecai35","@danierdecai35")</f>
        <v>@danierdecai35</v>
      </c>
      <c r="C661" s="8" t="s">
        <v>2483</v>
      </c>
      <c r="D661" s="9" t="s">
        <v>2484</v>
      </c>
      <c r="E661" s="10" t="str">
        <f>HYPERLINK("https://twitter.com/danierdecai35/status/1070800695945760768","1070800695945760768")</f>
        <v>1070800695945760768</v>
      </c>
      <c r="F661" s="11"/>
      <c r="G661" s="16" t="s">
        <v>127</v>
      </c>
      <c r="H661" s="11"/>
      <c r="I661" s="12">
        <v>6753</v>
      </c>
      <c r="J661" s="12">
        <v>10523</v>
      </c>
      <c r="K661" s="13" t="str">
        <f t="shared" si="159"/>
        <v>Twitter Web Client</v>
      </c>
      <c r="L661" s="12">
        <v>6730</v>
      </c>
      <c r="M661" s="12">
        <v>717</v>
      </c>
      <c r="N661" s="12">
        <v>12</v>
      </c>
      <c r="O661" s="14"/>
      <c r="P661" s="6">
        <v>41361.475405092591</v>
      </c>
      <c r="Q661" s="15" t="s">
        <v>2485</v>
      </c>
      <c r="R661" s="17" t="s">
        <v>2486</v>
      </c>
      <c r="S661" s="11"/>
      <c r="T661" s="11"/>
      <c r="U661" s="10" t="str">
        <f>HYPERLINK("https://pbs.twimg.com/profile_images/1070648233486102529/ygvfqo9W.jpg","View")</f>
        <v>View</v>
      </c>
    </row>
    <row r="662" spans="1:21" ht="51">
      <c r="A662" s="6">
        <v>43440.953425925924</v>
      </c>
      <c r="B662" s="7" t="str">
        <f>HYPERLINK("https://twitter.com/Verdadesdeldia1","@Verdadesdeldia1")</f>
        <v>@Verdadesdeldia1</v>
      </c>
      <c r="C662" s="8" t="s">
        <v>2487</v>
      </c>
      <c r="D662" s="9" t="s">
        <v>2488</v>
      </c>
      <c r="E662" s="10" t="str">
        <f>HYPERLINK("https://twitter.com/Verdadesdeldia1/status/1070798267838013446","1070798267838013446")</f>
        <v>1070798267838013446</v>
      </c>
      <c r="F662" s="11"/>
      <c r="G662" s="11"/>
      <c r="H662" s="11"/>
      <c r="I662" s="12">
        <v>0</v>
      </c>
      <c r="J662" s="12">
        <v>2</v>
      </c>
      <c r="K662" s="13" t="str">
        <f>HYPERLINK("http://twitter.com/download/iphone","Twitter for iPhone")</f>
        <v>Twitter for iPhone</v>
      </c>
      <c r="L662" s="12">
        <v>53</v>
      </c>
      <c r="M662" s="12">
        <v>82</v>
      </c>
      <c r="N662" s="12">
        <v>0</v>
      </c>
      <c r="O662" s="14"/>
      <c r="P662" s="6">
        <v>42549.962129629625</v>
      </c>
      <c r="Q662" s="15" t="s">
        <v>197</v>
      </c>
      <c r="R662" s="17" t="s">
        <v>2489</v>
      </c>
      <c r="S662" s="11"/>
      <c r="T662" s="11"/>
      <c r="U662" s="10" t="str">
        <f>HYPERLINK("https://pbs.twimg.com/profile_images/747901907411177473/hIDi7MxV.jpg","View")</f>
        <v>View</v>
      </c>
    </row>
    <row r="663" spans="1:21" ht="51">
      <c r="A663" s="6">
        <v>43440.951666666668</v>
      </c>
      <c r="B663" s="7" t="str">
        <f>HYPERLINK("https://twitter.com/RCienpiedras","@RCienpiedras")</f>
        <v>@RCienpiedras</v>
      </c>
      <c r="C663" s="8" t="s">
        <v>2490</v>
      </c>
      <c r="D663" s="9" t="s">
        <v>2491</v>
      </c>
      <c r="E663" s="10" t="str">
        <f>HYPERLINK("https://twitter.com/RCienpiedras/status/1070797633378283520","1070797633378283520")</f>
        <v>1070797633378283520</v>
      </c>
      <c r="F663" s="15" t="s">
        <v>2492</v>
      </c>
      <c r="G663" s="11"/>
      <c r="H663" s="11"/>
      <c r="I663" s="12">
        <v>0</v>
      </c>
      <c r="J663" s="12">
        <v>1</v>
      </c>
      <c r="K663" s="13" t="str">
        <f t="shared" ref="K663:K665" si="160">HYPERLINK("http://twitter.com/download/android","Twitter for Android")</f>
        <v>Twitter for Android</v>
      </c>
      <c r="L663" s="12">
        <v>236</v>
      </c>
      <c r="M663" s="12">
        <v>209</v>
      </c>
      <c r="N663" s="12">
        <v>2</v>
      </c>
      <c r="O663" s="14"/>
      <c r="P663" s="6">
        <v>42546.442442129628</v>
      </c>
      <c r="Q663" s="15" t="s">
        <v>2493</v>
      </c>
      <c r="R663" s="17" t="s">
        <v>2494</v>
      </c>
      <c r="S663" s="11"/>
      <c r="T663" s="11"/>
      <c r="U663" s="10" t="str">
        <f>HYPERLINK("https://pbs.twimg.com/profile_images/1019904388784148480/nCkLVc-E.jpg","View")</f>
        <v>View</v>
      </c>
    </row>
    <row r="664" spans="1:21" ht="102">
      <c r="A664" s="6">
        <v>43440.950578703705</v>
      </c>
      <c r="B664" s="7" t="str">
        <f>HYPERLINK("https://twitter.com/memeses2","@memeses2")</f>
        <v>@memeses2</v>
      </c>
      <c r="C664" s="8" t="s">
        <v>2495</v>
      </c>
      <c r="D664" s="9" t="s">
        <v>2496</v>
      </c>
      <c r="E664" s="10" t="str">
        <f>HYPERLINK("https://twitter.com/memeses2/status/1070797235691118592","1070797235691118592")</f>
        <v>1070797235691118592</v>
      </c>
      <c r="F664" s="16" t="s">
        <v>2497</v>
      </c>
      <c r="G664" s="16" t="s">
        <v>2498</v>
      </c>
      <c r="H664" s="11"/>
      <c r="I664" s="12">
        <v>1</v>
      </c>
      <c r="J664" s="12">
        <v>1</v>
      </c>
      <c r="K664" s="13" t="str">
        <f t="shared" si="160"/>
        <v>Twitter for Android</v>
      </c>
      <c r="L664" s="12">
        <v>818</v>
      </c>
      <c r="M664" s="12">
        <v>749</v>
      </c>
      <c r="N664" s="12">
        <v>1</v>
      </c>
      <c r="O664" s="14"/>
      <c r="P664" s="6">
        <v>43413.516655092593</v>
      </c>
      <c r="Q664" s="15" t="s">
        <v>197</v>
      </c>
      <c r="R664" s="17" t="s">
        <v>2499</v>
      </c>
      <c r="S664" s="11"/>
      <c r="T664" s="11"/>
      <c r="U664" s="10" t="str">
        <f>HYPERLINK("https://pbs.twimg.com/profile_images/1060857415640539136/cZbEgTAv.jpg","View")</f>
        <v>View</v>
      </c>
    </row>
    <row r="665" spans="1:21" ht="30.6">
      <c r="A665" s="6">
        <v>43440.950104166666</v>
      </c>
      <c r="B665" s="7" t="str">
        <f>HYPERLINK("https://twitter.com/enparantzitho","@enparantzitho")</f>
        <v>@enparantzitho</v>
      </c>
      <c r="C665" s="8" t="s">
        <v>2500</v>
      </c>
      <c r="D665" s="9" t="s">
        <v>2501</v>
      </c>
      <c r="E665" s="10" t="str">
        <f>HYPERLINK("https://twitter.com/enparantzitho/status/1070797064089538560","1070797064089538560")</f>
        <v>1070797064089538560</v>
      </c>
      <c r="F665" s="11"/>
      <c r="G665" s="11"/>
      <c r="H665" s="11"/>
      <c r="I665" s="12">
        <v>0</v>
      </c>
      <c r="J665" s="12">
        <v>0</v>
      </c>
      <c r="K665" s="13" t="str">
        <f t="shared" si="160"/>
        <v>Twitter for Android</v>
      </c>
      <c r="L665" s="12">
        <v>207</v>
      </c>
      <c r="M665" s="12">
        <v>196</v>
      </c>
      <c r="N665" s="12">
        <v>6</v>
      </c>
      <c r="O665" s="14"/>
      <c r="P665" s="6">
        <v>43344.546793981484</v>
      </c>
      <c r="Q665" s="11"/>
      <c r="R665" s="17" t="s">
        <v>2502</v>
      </c>
      <c r="S665" s="11"/>
      <c r="T665" s="11"/>
      <c r="U665" s="10" t="str">
        <f>HYPERLINK("https://pbs.twimg.com/profile_images/1035846850396475396/6z6v9T-O.jpg","View")</f>
        <v>View</v>
      </c>
    </row>
    <row r="666" spans="1:21" ht="71.400000000000006">
      <c r="A666" s="6">
        <v>43440.949016203704</v>
      </c>
      <c r="B666" s="7" t="str">
        <f>HYPERLINK("https://twitter.com/mestoycabreando","@mestoycabreando")</f>
        <v>@mestoycabreando</v>
      </c>
      <c r="C666" s="8" t="s">
        <v>2503</v>
      </c>
      <c r="D666" s="9" t="s">
        <v>2504</v>
      </c>
      <c r="E666" s="10" t="str">
        <f>HYPERLINK("https://twitter.com/mestoycabreando/status/1070796673113317376","1070796673113317376")</f>
        <v>1070796673113317376</v>
      </c>
      <c r="F666" s="16" t="s">
        <v>2505</v>
      </c>
      <c r="G666" s="11"/>
      <c r="H666" s="11"/>
      <c r="I666" s="12">
        <v>0</v>
      </c>
      <c r="J666" s="12">
        <v>0</v>
      </c>
      <c r="K666" s="13" t="str">
        <f>HYPERLINK("http://twitter.com","Twitter Web Client")</f>
        <v>Twitter Web Client</v>
      </c>
      <c r="L666" s="12">
        <v>567</v>
      </c>
      <c r="M666" s="12">
        <v>588</v>
      </c>
      <c r="N666" s="12">
        <v>13</v>
      </c>
      <c r="O666" s="14"/>
      <c r="P666" s="6">
        <v>40241.730046296296</v>
      </c>
      <c r="Q666" s="11"/>
      <c r="R666" s="18"/>
      <c r="S666" s="11"/>
      <c r="T666" s="11"/>
      <c r="U666" s="10" t="str">
        <f>HYPERLINK("https://pbs.twimg.com/profile_images/1008833155460157441/egoIkbXg.jpg","View")</f>
        <v>View</v>
      </c>
    </row>
    <row r="667" spans="1:21" ht="40.799999999999997">
      <c r="A667" s="6">
        <v>43440.948506944449</v>
      </c>
      <c r="B667" s="7" t="str">
        <f>HYPERLINK("https://twitter.com/Maggik1471","@Maggik1471")</f>
        <v>@Maggik1471</v>
      </c>
      <c r="C667" s="8" t="s">
        <v>2506</v>
      </c>
      <c r="D667" s="9" t="s">
        <v>2507</v>
      </c>
      <c r="E667" s="10" t="str">
        <f>HYPERLINK("https://twitter.com/Maggik1471/status/1070796485086887938","1070796485086887938")</f>
        <v>1070796485086887938</v>
      </c>
      <c r="F667" s="16" t="s">
        <v>2508</v>
      </c>
      <c r="G667" s="16" t="s">
        <v>2509</v>
      </c>
      <c r="H667" s="11"/>
      <c r="I667" s="12">
        <v>0</v>
      </c>
      <c r="J667" s="12">
        <v>0</v>
      </c>
      <c r="K667" s="13" t="str">
        <f>HYPERLINK("http://twitter.com/download/iphone","Twitter for iPhone")</f>
        <v>Twitter for iPhone</v>
      </c>
      <c r="L667" s="12">
        <v>39</v>
      </c>
      <c r="M667" s="12">
        <v>315</v>
      </c>
      <c r="N667" s="12">
        <v>1</v>
      </c>
      <c r="O667" s="14"/>
      <c r="P667" s="6">
        <v>42586.383634259255</v>
      </c>
      <c r="Q667" s="15" t="s">
        <v>2510</v>
      </c>
      <c r="R667" s="18"/>
      <c r="S667" s="11"/>
      <c r="T667" s="11"/>
      <c r="U667" s="10" t="str">
        <f>HYPERLINK("https://pbs.twimg.com/profile_images/905382094754414592/fUF2Ge0k.jpg","View")</f>
        <v>View</v>
      </c>
    </row>
    <row r="668" spans="1:21" ht="40.799999999999997">
      <c r="A668" s="6">
        <v>43440.938877314809</v>
      </c>
      <c r="B668" s="7" t="str">
        <f>HYPERLINK("https://twitter.com/mestoycabreando","@mestoycabreando")</f>
        <v>@mestoycabreando</v>
      </c>
      <c r="C668" s="8" t="s">
        <v>2503</v>
      </c>
      <c r="D668" s="9" t="s">
        <v>2511</v>
      </c>
      <c r="E668" s="10" t="str">
        <f>HYPERLINK("https://twitter.com/mestoycabreando/status/1070792995765653505","1070792995765653505")</f>
        <v>1070792995765653505</v>
      </c>
      <c r="F668" s="15" t="s">
        <v>2380</v>
      </c>
      <c r="G668" s="11"/>
      <c r="H668" s="11"/>
      <c r="I668" s="12">
        <v>0</v>
      </c>
      <c r="J668" s="12">
        <v>0</v>
      </c>
      <c r="K668" s="13" t="str">
        <f>HYPERLINK("http://twitter.com","Twitter Web Client")</f>
        <v>Twitter Web Client</v>
      </c>
      <c r="L668" s="12">
        <v>567</v>
      </c>
      <c r="M668" s="12">
        <v>588</v>
      </c>
      <c r="N668" s="12">
        <v>13</v>
      </c>
      <c r="O668" s="14"/>
      <c r="P668" s="6">
        <v>40241.730046296296</v>
      </c>
      <c r="Q668" s="11"/>
      <c r="R668" s="18"/>
      <c r="S668" s="11"/>
      <c r="T668" s="11"/>
      <c r="U668" s="10" t="str">
        <f>HYPERLINK("https://pbs.twimg.com/profile_images/1008833155460157441/egoIkbXg.jpg","View")</f>
        <v>View</v>
      </c>
    </row>
    <row r="669" spans="1:21" ht="71.400000000000006">
      <c r="A669" s="6">
        <v>43440.93681712963</v>
      </c>
      <c r="B669" s="7" t="str">
        <f>HYPERLINK("https://twitter.com/Jorgebuxade","@Jorgebuxade")</f>
        <v>@Jorgebuxade</v>
      </c>
      <c r="C669" s="8" t="s">
        <v>2512</v>
      </c>
      <c r="D669" s="9" t="s">
        <v>2513</v>
      </c>
      <c r="E669" s="10" t="str">
        <f>HYPERLINK("https://twitter.com/Jorgebuxade/status/1070792250907652096","1070792250907652096")</f>
        <v>1070792250907652096</v>
      </c>
      <c r="F669" s="15" t="s">
        <v>2514</v>
      </c>
      <c r="G669" s="11"/>
      <c r="H669" s="11"/>
      <c r="I669" s="12">
        <v>1</v>
      </c>
      <c r="J669" s="12">
        <v>2</v>
      </c>
      <c r="K669" s="13" t="str">
        <f t="shared" ref="K669:K670" si="161">HYPERLINK("http://twitter.com/download/iphone","Twitter for iPhone")</f>
        <v>Twitter for iPhone</v>
      </c>
      <c r="L669" s="12">
        <v>901</v>
      </c>
      <c r="M669" s="12">
        <v>818</v>
      </c>
      <c r="N669" s="12">
        <v>26</v>
      </c>
      <c r="O669" s="14"/>
      <c r="P669" s="6">
        <v>40339.574293981481</v>
      </c>
      <c r="Q669" s="15" t="s">
        <v>986</v>
      </c>
      <c r="R669" s="17" t="s">
        <v>2515</v>
      </c>
      <c r="S669" s="16" t="s">
        <v>2516</v>
      </c>
      <c r="T669" s="11"/>
      <c r="U669" s="10" t="str">
        <f>HYPERLINK("https://pbs.twimg.com/profile_images/500342457864032257/692kaeSA.jpeg","View")</f>
        <v>View</v>
      </c>
    </row>
    <row r="670" spans="1:21" ht="51">
      <c r="A670" s="6">
        <v>43440.933368055557</v>
      </c>
      <c r="B670" s="7" t="str">
        <f>HYPERLINK("https://twitter.com/Espartana_1919","@Espartana_1919")</f>
        <v>@Espartana_1919</v>
      </c>
      <c r="C670" s="8" t="s">
        <v>2517</v>
      </c>
      <c r="D670" s="9" t="s">
        <v>2518</v>
      </c>
      <c r="E670" s="10" t="str">
        <f>HYPERLINK("https://twitter.com/Espartana_1919/status/1070791000518475776","1070791000518475776")</f>
        <v>1070791000518475776</v>
      </c>
      <c r="F670" s="15" t="s">
        <v>2519</v>
      </c>
      <c r="G670" s="11"/>
      <c r="H670" s="11"/>
      <c r="I670" s="12">
        <v>0</v>
      </c>
      <c r="J670" s="12">
        <v>2</v>
      </c>
      <c r="K670" s="13" t="str">
        <f t="shared" si="161"/>
        <v>Twitter for iPhone</v>
      </c>
      <c r="L670" s="12">
        <v>2839</v>
      </c>
      <c r="M670" s="12">
        <v>3023</v>
      </c>
      <c r="N670" s="12">
        <v>6</v>
      </c>
      <c r="O670" s="14"/>
      <c r="P670" s="6">
        <v>42968.724004629628</v>
      </c>
      <c r="Q670" s="15" t="s">
        <v>2520</v>
      </c>
      <c r="R670" s="17" t="s">
        <v>2521</v>
      </c>
      <c r="S670" s="11"/>
      <c r="T670" s="11"/>
      <c r="U670" s="10" t="str">
        <f>HYPERLINK("https://pbs.twimg.com/profile_images/1056806647606243329/XHwYfX86.jpg","View")</f>
        <v>View</v>
      </c>
    </row>
    <row r="671" spans="1:21" ht="13.2">
      <c r="A671" s="6">
        <v>43440.933113425926</v>
      </c>
      <c r="B671" s="7" t="str">
        <f>HYPERLINK("https://twitter.com/elihuhuhuhu","@elihuhuhuhu")</f>
        <v>@elihuhuhuhu</v>
      </c>
      <c r="C671" s="8" t="s">
        <v>2522</v>
      </c>
      <c r="D671" s="9" t="s">
        <v>2523</v>
      </c>
      <c r="E671" s="10" t="str">
        <f>HYPERLINK("https://twitter.com/elihuhuhuhu/status/1070790907484692480","1070790907484692480")</f>
        <v>1070790907484692480</v>
      </c>
      <c r="F671" s="16" t="s">
        <v>2524</v>
      </c>
      <c r="G671" s="11"/>
      <c r="H671" s="11"/>
      <c r="I671" s="12">
        <v>0</v>
      </c>
      <c r="J671" s="12">
        <v>0</v>
      </c>
      <c r="K671" s="13" t="str">
        <f t="shared" ref="K671:K672" si="162">HYPERLINK("http://twitter.com/download/android","Twitter for Android")</f>
        <v>Twitter for Android</v>
      </c>
      <c r="L671" s="12">
        <v>85</v>
      </c>
      <c r="M671" s="12">
        <v>109</v>
      </c>
      <c r="N671" s="12">
        <v>0</v>
      </c>
      <c r="O671" s="14"/>
      <c r="P671" s="6">
        <v>42111.120995370366</v>
      </c>
      <c r="Q671" s="11"/>
      <c r="R671" s="18"/>
      <c r="S671" s="11"/>
      <c r="T671" s="11"/>
      <c r="U671" s="10" t="str">
        <f>HYPERLINK("https://pbs.twimg.com/profile_images/732862478145728512/_Zs7uGXA.jpg","View")</f>
        <v>View</v>
      </c>
    </row>
    <row r="672" spans="1:21" ht="30.6">
      <c r="A672" s="6">
        <v>43440.931921296295</v>
      </c>
      <c r="B672" s="7" t="str">
        <f>HYPERLINK("https://twitter.com/Marty_0371","@Marty_0371")</f>
        <v>@Marty_0371</v>
      </c>
      <c r="C672" s="8" t="s">
        <v>2525</v>
      </c>
      <c r="D672" s="9" t="s">
        <v>2036</v>
      </c>
      <c r="E672" s="10" t="str">
        <f>HYPERLINK("https://twitter.com/Marty_0371/status/1070790476381478913","1070790476381478913")</f>
        <v>1070790476381478913</v>
      </c>
      <c r="F672" s="16" t="s">
        <v>2526</v>
      </c>
      <c r="G672" s="11"/>
      <c r="H672" s="11"/>
      <c r="I672" s="12">
        <v>0</v>
      </c>
      <c r="J672" s="12">
        <v>0</v>
      </c>
      <c r="K672" s="13" t="str">
        <f t="shared" si="162"/>
        <v>Twitter for Android</v>
      </c>
      <c r="L672" s="12">
        <v>469</v>
      </c>
      <c r="M672" s="12">
        <v>1308</v>
      </c>
      <c r="N672" s="12">
        <v>4</v>
      </c>
      <c r="O672" s="14"/>
      <c r="P672" s="6">
        <v>40504.529629629629</v>
      </c>
      <c r="Q672" s="15" t="s">
        <v>2527</v>
      </c>
      <c r="R672" s="17" t="s">
        <v>2528</v>
      </c>
      <c r="S672" s="16" t="s">
        <v>2529</v>
      </c>
      <c r="T672" s="11"/>
      <c r="U672" s="10" t="str">
        <f>HYPERLINK("https://pbs.twimg.com/profile_images/787348697738862592/sGLbhK5q.jpg","View")</f>
        <v>View</v>
      </c>
    </row>
    <row r="673" spans="1:21" ht="51">
      <c r="A673" s="6">
        <v>43440.931840277779</v>
      </c>
      <c r="B673" s="7" t="str">
        <f>HYPERLINK("https://twitter.com/AmargaProgres","@AmargaProgres")</f>
        <v>@AmargaProgres</v>
      </c>
      <c r="C673" s="8" t="s">
        <v>2530</v>
      </c>
      <c r="D673" s="9" t="s">
        <v>2531</v>
      </c>
      <c r="E673" s="10" t="str">
        <f>HYPERLINK("https://twitter.com/AmargaProgres/status/1070790446564163584","1070790446564163584")</f>
        <v>1070790446564163584</v>
      </c>
      <c r="F673" s="11"/>
      <c r="G673" s="16" t="s">
        <v>2532</v>
      </c>
      <c r="H673" s="11"/>
      <c r="I673" s="12">
        <v>3</v>
      </c>
      <c r="J673" s="12">
        <v>4</v>
      </c>
      <c r="K673" s="13" t="str">
        <f>HYPERLINK("http://twitter.com/download/iphone","Twitter for iPhone")</f>
        <v>Twitter for iPhone</v>
      </c>
      <c r="L673" s="12">
        <v>2175</v>
      </c>
      <c r="M673" s="12">
        <v>1241</v>
      </c>
      <c r="N673" s="12">
        <v>11</v>
      </c>
      <c r="O673" s="14"/>
      <c r="P673" s="6">
        <v>43209.508101851854</v>
      </c>
      <c r="Q673" s="15" t="s">
        <v>1092</v>
      </c>
      <c r="R673" s="17" t="s">
        <v>2533</v>
      </c>
      <c r="S673" s="11"/>
      <c r="T673" s="11"/>
      <c r="U673" s="10" t="str">
        <f>HYPERLINK("https://pbs.twimg.com/profile_images/1065624816466710528/fcRylVWY.jpg","View")</f>
        <v>View</v>
      </c>
    </row>
    <row r="674" spans="1:21" ht="81.599999999999994">
      <c r="A674" s="6">
        <v>43440.929629629631</v>
      </c>
      <c r="B674" s="7" t="str">
        <f>HYPERLINK("https://twitter.com/UlisesGamez10","@UlisesGamez10")</f>
        <v>@UlisesGamez10</v>
      </c>
      <c r="C674" s="8" t="s">
        <v>233</v>
      </c>
      <c r="D674" s="9" t="s">
        <v>2534</v>
      </c>
      <c r="E674" s="10" t="str">
        <f>HYPERLINK("https://twitter.com/UlisesGamez10/status/1070789645858955264","1070789645858955264")</f>
        <v>1070789645858955264</v>
      </c>
      <c r="F674" s="15" t="s">
        <v>2535</v>
      </c>
      <c r="G674" s="11"/>
      <c r="H674" s="11"/>
      <c r="I674" s="12">
        <v>2</v>
      </c>
      <c r="J674" s="12">
        <v>1</v>
      </c>
      <c r="K674" s="13" t="str">
        <f>HYPERLINK("http://twitter.com/download/android","Twitter for Android")</f>
        <v>Twitter for Android</v>
      </c>
      <c r="L674" s="12">
        <v>1184</v>
      </c>
      <c r="M674" s="12">
        <v>5002</v>
      </c>
      <c r="N674" s="12">
        <v>0</v>
      </c>
      <c r="O674" s="14"/>
      <c r="P674" s="6">
        <v>43190.59783564815</v>
      </c>
      <c r="Q674" s="15" t="s">
        <v>236</v>
      </c>
      <c r="R674" s="17" t="s">
        <v>237</v>
      </c>
      <c r="S674" s="11"/>
      <c r="T674" s="11"/>
      <c r="U674" s="10" t="str">
        <f>HYPERLINK("https://pbs.twimg.com/profile_images/1068881444196499456/MCgxp2WR.jpg","View")</f>
        <v>View</v>
      </c>
    </row>
    <row r="675" spans="1:21" ht="102">
      <c r="A675" s="6">
        <v>43440.929120370369</v>
      </c>
      <c r="B675" s="7" t="str">
        <f>HYPERLINK("https://twitter.com/rau_lista","@rau_lista")</f>
        <v>@rau_lista</v>
      </c>
      <c r="C675" s="8" t="s">
        <v>2536</v>
      </c>
      <c r="D675" s="9" t="s">
        <v>2537</v>
      </c>
      <c r="E675" s="10" t="str">
        <f>HYPERLINK("https://twitter.com/rau_lista/status/1070789462102282242","1070789462102282242")</f>
        <v>1070789462102282242</v>
      </c>
      <c r="F675" s="16" t="s">
        <v>2186</v>
      </c>
      <c r="G675" s="16" t="s">
        <v>2187</v>
      </c>
      <c r="H675" s="11"/>
      <c r="I675" s="12">
        <v>6</v>
      </c>
      <c r="J675" s="12">
        <v>20</v>
      </c>
      <c r="K675" s="13" t="str">
        <f>HYPERLINK("http://twitter.com/download/iphone","Twitter for iPhone")</f>
        <v>Twitter for iPhone</v>
      </c>
      <c r="L675" s="12">
        <v>1050</v>
      </c>
      <c r="M675" s="12">
        <v>518</v>
      </c>
      <c r="N675" s="12">
        <v>13</v>
      </c>
      <c r="O675" s="14"/>
      <c r="P675" s="6">
        <v>41010.984548611115</v>
      </c>
      <c r="Q675" s="15" t="s">
        <v>2538</v>
      </c>
      <c r="R675" s="17" t="s">
        <v>2539</v>
      </c>
      <c r="S675" s="11"/>
      <c r="T675" s="11"/>
      <c r="U675" s="10" t="str">
        <f>HYPERLINK("https://pbs.twimg.com/profile_images/949765042047782914/MkGqeg0q.jpg","View")</f>
        <v>View</v>
      </c>
    </row>
    <row r="676" spans="1:21" ht="71.400000000000006">
      <c r="A676" s="6">
        <v>43440.926736111112</v>
      </c>
      <c r="B676" s="7" t="str">
        <f>HYPERLINK("https://twitter.com/shocas_f","@shocas_f")</f>
        <v>@shocas_f</v>
      </c>
      <c r="C676" s="8" t="s">
        <v>2540</v>
      </c>
      <c r="D676" s="9" t="s">
        <v>2541</v>
      </c>
      <c r="E676" s="10" t="str">
        <f>HYPERLINK("https://twitter.com/shocas_f/status/1070788597131956230","1070788597131956230")</f>
        <v>1070788597131956230</v>
      </c>
      <c r="F676" s="16" t="s">
        <v>2542</v>
      </c>
      <c r="G676" s="16" t="s">
        <v>2543</v>
      </c>
      <c r="H676" s="11"/>
      <c r="I676" s="12">
        <v>0</v>
      </c>
      <c r="J676" s="12">
        <v>1</v>
      </c>
      <c r="K676" s="13" t="str">
        <f t="shared" ref="K676:K680" si="163">HYPERLINK("http://twitter.com/download/android","Twitter for Android")</f>
        <v>Twitter for Android</v>
      </c>
      <c r="L676" s="12">
        <v>440</v>
      </c>
      <c r="M676" s="12">
        <v>412</v>
      </c>
      <c r="N676" s="12">
        <v>7</v>
      </c>
      <c r="O676" s="14"/>
      <c r="P676" s="6">
        <v>41110.916828703703</v>
      </c>
      <c r="Q676" s="15" t="s">
        <v>2544</v>
      </c>
      <c r="R676" s="17" t="s">
        <v>2545</v>
      </c>
      <c r="S676" s="11"/>
      <c r="T676" s="11"/>
      <c r="U676" s="10" t="str">
        <f>HYPERLINK("https://pbs.twimg.com/profile_images/589153520152145920/yvRUrn0O.jpg","View")</f>
        <v>View</v>
      </c>
    </row>
    <row r="677" spans="1:21" ht="51">
      <c r="A677" s="6">
        <v>43440.926215277781</v>
      </c>
      <c r="B677" s="7" t="str">
        <f>HYPERLINK("https://twitter.com/ErCabesa4","@ErCabesa4")</f>
        <v>@ErCabesa4</v>
      </c>
      <c r="C677" s="8" t="s">
        <v>2546</v>
      </c>
      <c r="D677" s="9" t="s">
        <v>2547</v>
      </c>
      <c r="E677" s="10" t="str">
        <f>HYPERLINK("https://twitter.com/ErCabesa4/status/1070788408698683393","1070788408698683393")</f>
        <v>1070788408698683393</v>
      </c>
      <c r="F677" s="11"/>
      <c r="G677" s="16" t="s">
        <v>2548</v>
      </c>
      <c r="H677" s="11"/>
      <c r="I677" s="12">
        <v>0</v>
      </c>
      <c r="J677" s="12">
        <v>0</v>
      </c>
      <c r="K677" s="13" t="str">
        <f t="shared" si="163"/>
        <v>Twitter for Android</v>
      </c>
      <c r="L677" s="12">
        <v>57</v>
      </c>
      <c r="M677" s="12">
        <v>261</v>
      </c>
      <c r="N677" s="12">
        <v>0</v>
      </c>
      <c r="O677" s="14"/>
      <c r="P677" s="6">
        <v>43431.974872685183</v>
      </c>
      <c r="Q677" s="15" t="s">
        <v>197</v>
      </c>
      <c r="R677" s="17" t="s">
        <v>2549</v>
      </c>
      <c r="S677" s="11"/>
      <c r="T677" s="11"/>
      <c r="U677" s="10" t="str">
        <f>HYPERLINK("https://pbs.twimg.com/profile_images/1067546229557665794/rOyfQH_Q.jpg","View")</f>
        <v>View</v>
      </c>
    </row>
    <row r="678" spans="1:21" ht="71.400000000000006">
      <c r="A678" s="6">
        <v>43440.924398148149</v>
      </c>
      <c r="B678" s="7" t="str">
        <f>HYPERLINK("https://twitter.com/OscarQle","@OscarQle")</f>
        <v>@OscarQle</v>
      </c>
      <c r="C678" s="8" t="s">
        <v>2550</v>
      </c>
      <c r="D678" s="9" t="s">
        <v>2551</v>
      </c>
      <c r="E678" s="10" t="str">
        <f>HYPERLINK("https://twitter.com/OscarQle/status/1070787748343226368","1070787748343226368")</f>
        <v>1070787748343226368</v>
      </c>
      <c r="F678" s="15" t="s">
        <v>2435</v>
      </c>
      <c r="G678" s="11"/>
      <c r="H678" s="11"/>
      <c r="I678" s="12">
        <v>0</v>
      </c>
      <c r="J678" s="12">
        <v>0</v>
      </c>
      <c r="K678" s="13" t="str">
        <f t="shared" si="163"/>
        <v>Twitter for Android</v>
      </c>
      <c r="L678" s="12">
        <v>106</v>
      </c>
      <c r="M678" s="12">
        <v>581</v>
      </c>
      <c r="N678" s="12">
        <v>1</v>
      </c>
      <c r="O678" s="14"/>
      <c r="P678" s="6">
        <v>40695.5778587963</v>
      </c>
      <c r="Q678" s="11"/>
      <c r="R678" s="17" t="s">
        <v>2552</v>
      </c>
      <c r="S678" s="11"/>
      <c r="T678" s="11"/>
      <c r="U678" s="10" t="str">
        <f>HYPERLINK("https://pbs.twimg.com/profile_images/953982240207327238/4qtE2GAn.jpg","View")</f>
        <v>View</v>
      </c>
    </row>
    <row r="679" spans="1:21" ht="61.2">
      <c r="A679" s="6">
        <v>43440.923067129625</v>
      </c>
      <c r="B679" s="7" t="str">
        <f>HYPERLINK("https://twitter.com/pilarwillpi","@pilarwillpi")</f>
        <v>@pilarwillpi</v>
      </c>
      <c r="C679" s="8" t="s">
        <v>2553</v>
      </c>
      <c r="D679" s="9" t="s">
        <v>2554</v>
      </c>
      <c r="E679" s="10" t="str">
        <f>HYPERLINK("https://twitter.com/pilarwillpi/status/1070787269387259904","1070787269387259904")</f>
        <v>1070787269387259904</v>
      </c>
      <c r="F679" s="15" t="s">
        <v>2555</v>
      </c>
      <c r="G679" s="11"/>
      <c r="H679" s="11"/>
      <c r="I679" s="12">
        <v>4</v>
      </c>
      <c r="J679" s="12">
        <v>18</v>
      </c>
      <c r="K679" s="13" t="str">
        <f t="shared" si="163"/>
        <v>Twitter for Android</v>
      </c>
      <c r="L679" s="12">
        <v>4107</v>
      </c>
      <c r="M679" s="12">
        <v>2352</v>
      </c>
      <c r="N679" s="12">
        <v>52</v>
      </c>
      <c r="O679" s="14"/>
      <c r="P679" s="6">
        <v>40566.858298611114</v>
      </c>
      <c r="Q679" s="15" t="s">
        <v>2080</v>
      </c>
      <c r="R679" s="17" t="s">
        <v>2556</v>
      </c>
      <c r="S679" s="11"/>
      <c r="T679" s="11"/>
      <c r="U679" s="10" t="str">
        <f>HYPERLINK("https://pbs.twimg.com/profile_images/1057793823814889473/zeoHIX9b.jpg","View")</f>
        <v>View</v>
      </c>
    </row>
    <row r="680" spans="1:21" ht="20.399999999999999">
      <c r="A680" s="6">
        <v>43440.922766203701</v>
      </c>
      <c r="B680" s="7" t="str">
        <f>HYPERLINK("https://twitter.com/will63734694","@will63734694")</f>
        <v>@will63734694</v>
      </c>
      <c r="C680" s="8" t="s">
        <v>2557</v>
      </c>
      <c r="D680" s="9" t="s">
        <v>2036</v>
      </c>
      <c r="E680" s="10" t="str">
        <f>HYPERLINK("https://twitter.com/will63734694/status/1070787159592972288","1070787159592972288")</f>
        <v>1070787159592972288</v>
      </c>
      <c r="F680" s="16" t="s">
        <v>2037</v>
      </c>
      <c r="G680" s="11"/>
      <c r="H680" s="11"/>
      <c r="I680" s="12">
        <v>0</v>
      </c>
      <c r="J680" s="12">
        <v>2</v>
      </c>
      <c r="K680" s="13" t="str">
        <f t="shared" si="163"/>
        <v>Twitter for Android</v>
      </c>
      <c r="L680" s="12">
        <v>871</v>
      </c>
      <c r="M680" s="12">
        <v>943</v>
      </c>
      <c r="N680" s="12">
        <v>4</v>
      </c>
      <c r="O680" s="14"/>
      <c r="P680" s="6">
        <v>42240.768564814818</v>
      </c>
      <c r="Q680" s="11"/>
      <c r="R680" s="17" t="s">
        <v>2558</v>
      </c>
      <c r="S680" s="16" t="s">
        <v>2559</v>
      </c>
      <c r="T680" s="11"/>
      <c r="U680" s="10" t="str">
        <f>HYPERLINK("https://pbs.twimg.com/profile_images/951533192347045888/lXt2lpIu.jpg","View")</f>
        <v>View</v>
      </c>
    </row>
    <row r="681" spans="1:21" ht="51">
      <c r="A681" s="6">
        <v>43440.921550925923</v>
      </c>
      <c r="B681" s="7" t="str">
        <f>HYPERLINK("https://twitter.com/FrayJosepho","@FrayJosepho")</f>
        <v>@FrayJosepho</v>
      </c>
      <c r="C681" s="8" t="s">
        <v>2560</v>
      </c>
      <c r="D681" s="9" t="s">
        <v>2561</v>
      </c>
      <c r="E681" s="10" t="str">
        <f>HYPERLINK("https://twitter.com/FrayJosepho/status/1070786718683619328","1070786718683619328")</f>
        <v>1070786718683619328</v>
      </c>
      <c r="F681" s="15" t="s">
        <v>2562</v>
      </c>
      <c r="G681" s="16" t="s">
        <v>888</v>
      </c>
      <c r="H681" s="11"/>
      <c r="I681" s="12">
        <v>1763</v>
      </c>
      <c r="J681" s="12">
        <v>2288</v>
      </c>
      <c r="K681" s="13" t="str">
        <f>HYPERLINK("https://about.twitter.com/products/tweetdeck","TweetDeck")</f>
        <v>TweetDeck</v>
      </c>
      <c r="L681" s="12">
        <v>63341</v>
      </c>
      <c r="M681" s="12">
        <v>516</v>
      </c>
      <c r="N681" s="12">
        <v>654</v>
      </c>
      <c r="O681" s="23" t="s">
        <v>89</v>
      </c>
      <c r="P681" s="6">
        <v>40263.030856481484</v>
      </c>
      <c r="Q681" s="15" t="s">
        <v>197</v>
      </c>
      <c r="R681" s="17" t="s">
        <v>2563</v>
      </c>
      <c r="S681" s="16" t="s">
        <v>2564</v>
      </c>
      <c r="T681" s="11"/>
      <c r="U681" s="10" t="str">
        <f>HYPERLINK("https://pbs.twimg.com/profile_images/849684697261236224/hBxcfTCk.jpg","View")</f>
        <v>View</v>
      </c>
    </row>
    <row r="682" spans="1:21" ht="20.399999999999999">
      <c r="A682" s="6">
        <v>43440.918761574074</v>
      </c>
      <c r="B682" s="7" t="str">
        <f>HYPERLINK("https://twitter.com/Icunde_67","@Icunde_67")</f>
        <v>@Icunde_67</v>
      </c>
      <c r="C682" s="8" t="s">
        <v>1088</v>
      </c>
      <c r="D682" s="9" t="s">
        <v>2565</v>
      </c>
      <c r="E682" s="10" t="str">
        <f>HYPERLINK("https://twitter.com/Icunde_67/status/1070785706509955074","1070785706509955074")</f>
        <v>1070785706509955074</v>
      </c>
      <c r="F682" s="16" t="s">
        <v>1743</v>
      </c>
      <c r="G682" s="11"/>
      <c r="H682" s="11"/>
      <c r="I682" s="12">
        <v>0</v>
      </c>
      <c r="J682" s="12">
        <v>0</v>
      </c>
      <c r="K682" s="13" t="str">
        <f t="shared" ref="K682:K683" si="164">HYPERLINK("http://twitter.com","Twitter Web Client")</f>
        <v>Twitter Web Client</v>
      </c>
      <c r="L682" s="12">
        <v>3028</v>
      </c>
      <c r="M682" s="12">
        <v>2956</v>
      </c>
      <c r="N682" s="12">
        <v>58</v>
      </c>
      <c r="O682" s="14"/>
      <c r="P682" s="6">
        <v>41337.625509259262</v>
      </c>
      <c r="Q682" s="15" t="s">
        <v>986</v>
      </c>
      <c r="R682" s="18"/>
      <c r="S682" s="11"/>
      <c r="T682" s="11"/>
      <c r="U682" s="10" t="str">
        <f>HYPERLINK("https://pbs.twimg.com/profile_images/3433288835/ddf48551b37514135c1663e873eab7e1.jpeg","View")</f>
        <v>View</v>
      </c>
    </row>
    <row r="683" spans="1:21" ht="51">
      <c r="A683" s="6">
        <v>43440.917118055557</v>
      </c>
      <c r="B683" s="7" t="str">
        <f>HYPERLINK("https://twitter.com/AminLejarza","@AminLejarza")</f>
        <v>@AminLejarza</v>
      </c>
      <c r="C683" s="8" t="s">
        <v>77</v>
      </c>
      <c r="D683" s="9" t="s">
        <v>2566</v>
      </c>
      <c r="E683" s="10" t="str">
        <f>HYPERLINK("https://twitter.com/AminLejarza/status/1070785110377750528","1070785110377750528")</f>
        <v>1070785110377750528</v>
      </c>
      <c r="F683" s="11"/>
      <c r="G683" s="11"/>
      <c r="H683" s="11"/>
      <c r="I683" s="12">
        <v>0</v>
      </c>
      <c r="J683" s="12">
        <v>0</v>
      </c>
      <c r="K683" s="13" t="str">
        <f t="shared" si="164"/>
        <v>Twitter Web Client</v>
      </c>
      <c r="L683" s="12">
        <v>702</v>
      </c>
      <c r="M683" s="12">
        <v>168</v>
      </c>
      <c r="N683" s="12">
        <v>18</v>
      </c>
      <c r="O683" s="14"/>
      <c r="P683" s="6">
        <v>41593.815358796295</v>
      </c>
      <c r="Q683" s="15" t="s">
        <v>79</v>
      </c>
      <c r="R683" s="17" t="s">
        <v>80</v>
      </c>
      <c r="S683" s="16" t="s">
        <v>81</v>
      </c>
      <c r="T683" s="11"/>
      <c r="U683" s="10" t="str">
        <f>HYPERLINK("https://pbs.twimg.com/profile_images/1039916843853602818/QX20tZa_.jpg","View")</f>
        <v>View</v>
      </c>
    </row>
    <row r="684" spans="1:21" ht="81.599999999999994">
      <c r="A684" s="6">
        <v>43440.912754629629</v>
      </c>
      <c r="B684" s="7" t="str">
        <f>HYPERLINK("https://twitter.com/garrid_pedro","@garrid_pedro")</f>
        <v>@garrid_pedro</v>
      </c>
      <c r="C684" s="8" t="s">
        <v>2567</v>
      </c>
      <c r="D684" s="9" t="s">
        <v>2568</v>
      </c>
      <c r="E684" s="10" t="str">
        <f>HYPERLINK("https://twitter.com/garrid_pedro/status/1070783531562008576","1070783531562008576")</f>
        <v>1070783531562008576</v>
      </c>
      <c r="F684" s="15" t="s">
        <v>2435</v>
      </c>
      <c r="G684" s="11"/>
      <c r="H684" s="11"/>
      <c r="I684" s="12">
        <v>0</v>
      </c>
      <c r="J684" s="12">
        <v>0</v>
      </c>
      <c r="K684" s="13" t="str">
        <f t="shared" ref="K684:K685" si="165">HYPERLINK("http://twitter.com/download/android","Twitter for Android")</f>
        <v>Twitter for Android</v>
      </c>
      <c r="L684" s="12">
        <v>598</v>
      </c>
      <c r="M684" s="12">
        <v>1359</v>
      </c>
      <c r="N684" s="12">
        <v>6</v>
      </c>
      <c r="O684" s="14"/>
      <c r="P684" s="6">
        <v>41667.686921296292</v>
      </c>
      <c r="Q684" s="15" t="s">
        <v>240</v>
      </c>
      <c r="R684" s="17" t="s">
        <v>2569</v>
      </c>
      <c r="S684" s="11"/>
      <c r="T684" s="11"/>
      <c r="U684" s="10" t="str">
        <f>HYPERLINK("https://pbs.twimg.com/profile_images/453503731011555328/iWbncFYa.jpeg","View")</f>
        <v>View</v>
      </c>
    </row>
    <row r="685" spans="1:21" ht="13.2">
      <c r="A685" s="6">
        <v>43440.909988425927</v>
      </c>
      <c r="B685" s="7" t="str">
        <f>HYPERLINK("https://twitter.com/mariaknowles__","@mariaknowles__")</f>
        <v>@mariaknowles__</v>
      </c>
      <c r="C685" s="8" t="s">
        <v>2570</v>
      </c>
      <c r="D685" s="9" t="s">
        <v>2571</v>
      </c>
      <c r="E685" s="10" t="str">
        <f>HYPERLINK("https://twitter.com/mariaknowles__/status/1070782528720695296","1070782528720695296")</f>
        <v>1070782528720695296</v>
      </c>
      <c r="F685" s="11"/>
      <c r="G685" s="11"/>
      <c r="H685" s="11"/>
      <c r="I685" s="12">
        <v>0</v>
      </c>
      <c r="J685" s="12">
        <v>2</v>
      </c>
      <c r="K685" s="13" t="str">
        <f t="shared" si="165"/>
        <v>Twitter for Android</v>
      </c>
      <c r="L685" s="12">
        <v>749</v>
      </c>
      <c r="M685" s="12">
        <v>734</v>
      </c>
      <c r="N685" s="12">
        <v>5</v>
      </c>
      <c r="O685" s="14"/>
      <c r="P685" s="6">
        <v>40866.798958333333</v>
      </c>
      <c r="Q685" s="15" t="s">
        <v>56</v>
      </c>
      <c r="R685" s="17" t="s">
        <v>2572</v>
      </c>
      <c r="S685" s="11"/>
      <c r="T685" s="11"/>
      <c r="U685" s="10" t="str">
        <f>HYPERLINK("https://pbs.twimg.com/profile_images/1063860475283288065/bH_TzFsC.jpg","View")</f>
        <v>View</v>
      </c>
    </row>
    <row r="686" spans="1:21" ht="30.6">
      <c r="A686" s="6">
        <v>43440.908310185187</v>
      </c>
      <c r="B686" s="7" t="str">
        <f>HYPERLINK("https://twitter.com/Irethflames","@Irethflames")</f>
        <v>@Irethflames</v>
      </c>
      <c r="C686" s="8" t="s">
        <v>2573</v>
      </c>
      <c r="D686" s="9" t="s">
        <v>2574</v>
      </c>
      <c r="E686" s="10" t="str">
        <f>HYPERLINK("https://twitter.com/Irethflames/status/1070781921314136064","1070781921314136064")</f>
        <v>1070781921314136064</v>
      </c>
      <c r="F686" s="11"/>
      <c r="G686" s="16" t="s">
        <v>2575</v>
      </c>
      <c r="H686" s="11"/>
      <c r="I686" s="12">
        <v>0</v>
      </c>
      <c r="J686" s="12">
        <v>3</v>
      </c>
      <c r="K686" s="13" t="str">
        <f>HYPERLINK("http://twitter.com/download/iphone","Twitter for iPhone")</f>
        <v>Twitter for iPhone</v>
      </c>
      <c r="L686" s="12">
        <v>785</v>
      </c>
      <c r="M686" s="12">
        <v>91</v>
      </c>
      <c r="N686" s="12">
        <v>9</v>
      </c>
      <c r="O686" s="14"/>
      <c r="P686" s="6">
        <v>40819.888368055559</v>
      </c>
      <c r="Q686" s="15" t="s">
        <v>960</v>
      </c>
      <c r="R686" s="17" t="s">
        <v>2576</v>
      </c>
      <c r="S686" s="16" t="s">
        <v>2577</v>
      </c>
      <c r="T686" s="11"/>
      <c r="U686" s="10" t="str">
        <f>HYPERLINK("https://pbs.twimg.com/profile_images/734007647893065728/W-e3OW98.jpg","View")</f>
        <v>View</v>
      </c>
    </row>
    <row r="687" spans="1:21" ht="40.799999999999997">
      <c r="A687" s="6">
        <v>43440.90524305556</v>
      </c>
      <c r="B687" s="7" t="str">
        <f>HYPERLINK("https://twitter.com/rosamaria18btr","@rosamaria18btr")</f>
        <v>@rosamaria18btr</v>
      </c>
      <c r="C687" s="8" t="s">
        <v>2578</v>
      </c>
      <c r="D687" s="9" t="s">
        <v>2579</v>
      </c>
      <c r="E687" s="10" t="str">
        <f>HYPERLINK("https://twitter.com/rosamaria18btr/status/1070780809060278273","1070780809060278273")</f>
        <v>1070780809060278273</v>
      </c>
      <c r="F687" s="16" t="s">
        <v>2580</v>
      </c>
      <c r="G687" s="11"/>
      <c r="H687" s="11"/>
      <c r="I687" s="12">
        <v>0</v>
      </c>
      <c r="J687" s="12">
        <v>0</v>
      </c>
      <c r="K687" s="13" t="str">
        <f t="shared" ref="K687:K693" si="166">HYPERLINK("http://twitter.com/download/android","Twitter for Android")</f>
        <v>Twitter for Android</v>
      </c>
      <c r="L687" s="12">
        <v>1986</v>
      </c>
      <c r="M687" s="12">
        <v>2006</v>
      </c>
      <c r="N687" s="12">
        <v>15</v>
      </c>
      <c r="O687" s="14"/>
      <c r="P687" s="6">
        <v>41434.706724537034</v>
      </c>
      <c r="Q687" s="15" t="s">
        <v>2581</v>
      </c>
      <c r="R687" s="18"/>
      <c r="S687" s="11"/>
      <c r="T687" s="11"/>
      <c r="U687" s="10" t="str">
        <f>HYPERLINK("https://pbs.twimg.com/profile_images/972005691081637889/LtWxCVTY.jpg","View")</f>
        <v>View</v>
      </c>
    </row>
    <row r="688" spans="1:21" ht="30.6">
      <c r="A688" s="6">
        <v>43440.903912037036</v>
      </c>
      <c r="B688" s="7" t="str">
        <f>HYPERLINK("https://twitter.com/toni24156","@toni24156")</f>
        <v>@toni24156</v>
      </c>
      <c r="C688" s="8" t="s">
        <v>2582</v>
      </c>
      <c r="D688" s="9" t="s">
        <v>2583</v>
      </c>
      <c r="E688" s="10" t="str">
        <f>HYPERLINK("https://twitter.com/toni24156/status/1070780327981932544","1070780327981932544")</f>
        <v>1070780327981932544</v>
      </c>
      <c r="F688" s="11"/>
      <c r="G688" s="16" t="s">
        <v>2584</v>
      </c>
      <c r="H688" s="11"/>
      <c r="I688" s="12">
        <v>1</v>
      </c>
      <c r="J688" s="12">
        <v>0</v>
      </c>
      <c r="K688" s="13" t="str">
        <f t="shared" si="166"/>
        <v>Twitter for Android</v>
      </c>
      <c r="L688" s="12">
        <v>6673</v>
      </c>
      <c r="M688" s="12">
        <v>4471</v>
      </c>
      <c r="N688" s="12">
        <v>17</v>
      </c>
      <c r="O688" s="14"/>
      <c r="P688" s="6">
        <v>41569.804942129631</v>
      </c>
      <c r="Q688" s="15" t="s">
        <v>2585</v>
      </c>
      <c r="R688" s="17" t="s">
        <v>2586</v>
      </c>
      <c r="S688" s="11"/>
      <c r="T688" s="11"/>
      <c r="U688" s="10" t="str">
        <f>HYPERLINK("https://pbs.twimg.com/profile_images/534439941577515008/ZG9J3VCa.jpeg","View")</f>
        <v>View</v>
      </c>
    </row>
    <row r="689" spans="1:21" ht="30.6">
      <c r="A689" s="6">
        <v>43440.903541666667</v>
      </c>
      <c r="B689" s="7" t="str">
        <f t="shared" ref="B689:B690" si="167">HYPERLINK("https://twitter.com/qqqqetru","@qqqqetru")</f>
        <v>@qqqqetru</v>
      </c>
      <c r="C689" s="8" t="s">
        <v>843</v>
      </c>
      <c r="D689" s="9" t="s">
        <v>2587</v>
      </c>
      <c r="E689" s="10" t="str">
        <f>HYPERLINK("https://twitter.com/qqqqetru/status/1070780193021837316","1070780193021837316")</f>
        <v>1070780193021837316</v>
      </c>
      <c r="F689" s="11"/>
      <c r="G689" s="16" t="s">
        <v>2588</v>
      </c>
      <c r="H689" s="11"/>
      <c r="I689" s="12">
        <v>3</v>
      </c>
      <c r="J689" s="12">
        <v>2</v>
      </c>
      <c r="K689" s="13" t="str">
        <f t="shared" si="166"/>
        <v>Twitter for Android</v>
      </c>
      <c r="L689" s="12">
        <v>649</v>
      </c>
      <c r="M689" s="12">
        <v>1194</v>
      </c>
      <c r="N689" s="12">
        <v>2</v>
      </c>
      <c r="O689" s="14"/>
      <c r="P689" s="6">
        <v>40749.437719907408</v>
      </c>
      <c r="Q689" s="11"/>
      <c r="R689" s="18"/>
      <c r="S689" s="11"/>
      <c r="T689" s="11"/>
      <c r="U689" s="10" t="str">
        <f t="shared" ref="U689:U690" si="168">HYPERLINK("https://pbs.twimg.com/profile_images/1069734331780870144/d_KYpBFy.jpg","View")</f>
        <v>View</v>
      </c>
    </row>
    <row r="690" spans="1:21" ht="40.799999999999997">
      <c r="A690" s="6">
        <v>43440.897731481484</v>
      </c>
      <c r="B690" s="7" t="str">
        <f t="shared" si="167"/>
        <v>@qqqqetru</v>
      </c>
      <c r="C690" s="8" t="s">
        <v>843</v>
      </c>
      <c r="D690" s="9" t="s">
        <v>2589</v>
      </c>
      <c r="E690" s="10" t="str">
        <f>HYPERLINK("https://twitter.com/qqqqetru/status/1070778087468621826","1070778087468621826")</f>
        <v>1070778087468621826</v>
      </c>
      <c r="F690" s="11"/>
      <c r="G690" s="16" t="s">
        <v>2590</v>
      </c>
      <c r="H690" s="11"/>
      <c r="I690" s="12">
        <v>4</v>
      </c>
      <c r="J690" s="12">
        <v>9</v>
      </c>
      <c r="K690" s="13" t="str">
        <f t="shared" si="166"/>
        <v>Twitter for Android</v>
      </c>
      <c r="L690" s="12">
        <v>649</v>
      </c>
      <c r="M690" s="12">
        <v>1194</v>
      </c>
      <c r="N690" s="12">
        <v>2</v>
      </c>
      <c r="O690" s="14"/>
      <c r="P690" s="6">
        <v>40749.437719907408</v>
      </c>
      <c r="Q690" s="11"/>
      <c r="R690" s="18"/>
      <c r="S690" s="11"/>
      <c r="T690" s="11"/>
      <c r="U690" s="10" t="str">
        <f t="shared" si="168"/>
        <v>View</v>
      </c>
    </row>
    <row r="691" spans="1:21" ht="40.799999999999997">
      <c r="A691" s="6">
        <v>43440.895694444444</v>
      </c>
      <c r="B691" s="7" t="str">
        <f>HYPERLINK("https://twitter.com/memeses2","@memeses2")</f>
        <v>@memeses2</v>
      </c>
      <c r="C691" s="8" t="s">
        <v>2495</v>
      </c>
      <c r="D691" s="9" t="s">
        <v>2591</v>
      </c>
      <c r="E691" s="10" t="str">
        <f>HYPERLINK("https://twitter.com/memeses2/status/1070777346112831489","1070777346112831489")</f>
        <v>1070777346112831489</v>
      </c>
      <c r="F691" s="16" t="s">
        <v>2592</v>
      </c>
      <c r="G691" s="16" t="s">
        <v>2593</v>
      </c>
      <c r="H691" s="11"/>
      <c r="I691" s="12">
        <v>0</v>
      </c>
      <c r="J691" s="12">
        <v>1</v>
      </c>
      <c r="K691" s="13" t="str">
        <f t="shared" si="166"/>
        <v>Twitter for Android</v>
      </c>
      <c r="L691" s="12">
        <v>818</v>
      </c>
      <c r="M691" s="12">
        <v>749</v>
      </c>
      <c r="N691" s="12">
        <v>1</v>
      </c>
      <c r="O691" s="14"/>
      <c r="P691" s="6">
        <v>43413.516655092593</v>
      </c>
      <c r="Q691" s="15" t="s">
        <v>197</v>
      </c>
      <c r="R691" s="17" t="s">
        <v>2499</v>
      </c>
      <c r="S691" s="11"/>
      <c r="T691" s="11"/>
      <c r="U691" s="10" t="str">
        <f>HYPERLINK("https://pbs.twimg.com/profile_images/1060857415640539136/cZbEgTAv.jpg","View")</f>
        <v>View</v>
      </c>
    </row>
    <row r="692" spans="1:21" ht="20.399999999999999">
      <c r="A692" s="6">
        <v>43440.889525462961</v>
      </c>
      <c r="B692" s="7" t="str">
        <f>HYPERLINK("https://twitter.com/DeClaseBaja","@DeClaseBaja")</f>
        <v>@DeClaseBaja</v>
      </c>
      <c r="C692" s="8" t="s">
        <v>2594</v>
      </c>
      <c r="D692" s="9" t="s">
        <v>2595</v>
      </c>
      <c r="E692" s="10" t="str">
        <f>HYPERLINK("https://twitter.com/DeClaseBaja/status/1070775110380990464","1070775110380990464")</f>
        <v>1070775110380990464</v>
      </c>
      <c r="F692" s="11"/>
      <c r="G692" s="11"/>
      <c r="H692" s="11"/>
      <c r="I692" s="12">
        <v>4</v>
      </c>
      <c r="J692" s="12">
        <v>43</v>
      </c>
      <c r="K692" s="13" t="str">
        <f t="shared" si="166"/>
        <v>Twitter for Android</v>
      </c>
      <c r="L692" s="12">
        <v>16631</v>
      </c>
      <c r="M692" s="12">
        <v>557</v>
      </c>
      <c r="N692" s="12">
        <v>222</v>
      </c>
      <c r="O692" s="14"/>
      <c r="P692" s="6">
        <v>41546.052847222221</v>
      </c>
      <c r="Q692" s="15" t="s">
        <v>2596</v>
      </c>
      <c r="R692" s="17" t="s">
        <v>2597</v>
      </c>
      <c r="S692" s="11"/>
      <c r="T692" s="11"/>
      <c r="U692" s="10" t="str">
        <f>HYPERLINK("https://pbs.twimg.com/profile_images/1055324108597219330/cD_w6bnk.jpg","View")</f>
        <v>View</v>
      </c>
    </row>
    <row r="693" spans="1:21" ht="40.799999999999997">
      <c r="A693" s="6">
        <v>43440.881828703699</v>
      </c>
      <c r="B693" s="7" t="str">
        <f>HYPERLINK("https://twitter.com/FranjhZ","@FranjhZ")</f>
        <v>@FranjhZ</v>
      </c>
      <c r="C693" s="8" t="s">
        <v>2598</v>
      </c>
      <c r="D693" s="9" t="s">
        <v>2599</v>
      </c>
      <c r="E693" s="10" t="str">
        <f>HYPERLINK("https://twitter.com/FranjhZ/status/1070772321651175424","1070772321651175424")</f>
        <v>1070772321651175424</v>
      </c>
      <c r="F693" s="11"/>
      <c r="G693" s="11"/>
      <c r="H693" s="11"/>
      <c r="I693" s="12">
        <v>0</v>
      </c>
      <c r="J693" s="12">
        <v>0</v>
      </c>
      <c r="K693" s="13" t="str">
        <f t="shared" si="166"/>
        <v>Twitter for Android</v>
      </c>
      <c r="L693" s="12">
        <v>602</v>
      </c>
      <c r="M693" s="12">
        <v>105</v>
      </c>
      <c r="N693" s="12">
        <v>15</v>
      </c>
      <c r="O693" s="14"/>
      <c r="P693" s="6">
        <v>40220.730543981481</v>
      </c>
      <c r="Q693" s="15" t="s">
        <v>2600</v>
      </c>
      <c r="R693" s="17" t="s">
        <v>2601</v>
      </c>
      <c r="S693" s="16" t="s">
        <v>2602</v>
      </c>
      <c r="T693" s="11"/>
      <c r="U693" s="10" t="str">
        <f>HYPERLINK("https://pbs.twimg.com/profile_images/1070781651725312000/ZBNShSQL.jpg","View")</f>
        <v>View</v>
      </c>
    </row>
    <row r="694" spans="1:21" ht="51">
      <c r="A694" s="6">
        <v>43440.879618055551</v>
      </c>
      <c r="B694" s="7" t="str">
        <f>HYPERLINK("https://twitter.com/OficialSrLopez","@OficialSrLopez")</f>
        <v>@OficialSrLopez</v>
      </c>
      <c r="C694" s="8" t="s">
        <v>2603</v>
      </c>
      <c r="D694" s="9" t="s">
        <v>2604</v>
      </c>
      <c r="E694" s="10" t="str">
        <f>HYPERLINK("https://twitter.com/OficialSrLopez/status/1070771522095202306","1070771522095202306")</f>
        <v>1070771522095202306</v>
      </c>
      <c r="F694" s="16" t="s">
        <v>2605</v>
      </c>
      <c r="G694" s="11"/>
      <c r="H694" s="11"/>
      <c r="I694" s="12">
        <v>1</v>
      </c>
      <c r="J694" s="12">
        <v>1</v>
      </c>
      <c r="K694" s="13" t="str">
        <f>HYPERLINK("http://twitter.com/download/iphone","Twitter for iPhone")</f>
        <v>Twitter for iPhone</v>
      </c>
      <c r="L694" s="12">
        <v>19</v>
      </c>
      <c r="M694" s="12">
        <v>98</v>
      </c>
      <c r="N694" s="12">
        <v>0</v>
      </c>
      <c r="O694" s="14"/>
      <c r="P694" s="6">
        <v>43432.080717592587</v>
      </c>
      <c r="Q694" s="15" t="s">
        <v>2606</v>
      </c>
      <c r="R694" s="17" t="s">
        <v>2607</v>
      </c>
      <c r="S694" s="11"/>
      <c r="T694" s="11"/>
      <c r="U694" s="10" t="str">
        <f>HYPERLINK("https://pbs.twimg.com/profile_images/1067586319818334209/IJWtN2XA.jpg","View")</f>
        <v>View</v>
      </c>
    </row>
    <row r="695" spans="1:21" ht="40.799999999999997">
      <c r="A695" s="6">
        <v>43440.879409722227</v>
      </c>
      <c r="B695" s="7" t="str">
        <f>HYPERLINK("https://twitter.com/AllendeThemis","@AllendeThemis")</f>
        <v>@AllendeThemis</v>
      </c>
      <c r="C695" s="8" t="s">
        <v>2608</v>
      </c>
      <c r="D695" s="9" t="s">
        <v>2609</v>
      </c>
      <c r="E695" s="10" t="str">
        <f>HYPERLINK("https://twitter.com/AllendeThemis/status/1070771445821775872","1070771445821775872")</f>
        <v>1070771445821775872</v>
      </c>
      <c r="F695" s="16" t="s">
        <v>1568</v>
      </c>
      <c r="G695" s="11"/>
      <c r="H695" s="11"/>
      <c r="I695" s="12">
        <v>0</v>
      </c>
      <c r="J695" s="12">
        <v>0</v>
      </c>
      <c r="K695" s="13" t="str">
        <f t="shared" ref="K695:K697" si="169">HYPERLINK("http://twitter.com/download/android","Twitter for Android")</f>
        <v>Twitter for Android</v>
      </c>
      <c r="L695" s="12">
        <v>24</v>
      </c>
      <c r="M695" s="12">
        <v>16</v>
      </c>
      <c r="N695" s="12">
        <v>2</v>
      </c>
      <c r="O695" s="14"/>
      <c r="P695" s="6">
        <v>43308.66741898148</v>
      </c>
      <c r="Q695" s="11"/>
      <c r="R695" s="18"/>
      <c r="S695" s="11"/>
      <c r="T695" s="11"/>
      <c r="U695" s="10" t="str">
        <f>HYPERLINK("https://pbs.twimg.com/profile_images/1022850222144323584/s_EzAVwD.jpg","View")</f>
        <v>View</v>
      </c>
    </row>
    <row r="696" spans="1:21" ht="71.400000000000006">
      <c r="A696" s="6">
        <v>43440.877488425926</v>
      </c>
      <c r="B696" s="7" t="str">
        <f>HYPERLINK("https://twitter.com/Ignacio53090997","@Ignacio53090997")</f>
        <v>@Ignacio53090997</v>
      </c>
      <c r="C696" s="8" t="s">
        <v>2610</v>
      </c>
      <c r="D696" s="9" t="s">
        <v>2611</v>
      </c>
      <c r="E696" s="10" t="str">
        <f>HYPERLINK("https://twitter.com/Ignacio53090997/status/1070770749584097280","1070770749584097280")</f>
        <v>1070770749584097280</v>
      </c>
      <c r="F696" s="16" t="s">
        <v>763</v>
      </c>
      <c r="G696" s="16" t="s">
        <v>764</v>
      </c>
      <c r="H696" s="11"/>
      <c r="I696" s="12">
        <v>0</v>
      </c>
      <c r="J696" s="12">
        <v>0</v>
      </c>
      <c r="K696" s="13" t="str">
        <f t="shared" si="169"/>
        <v>Twitter for Android</v>
      </c>
      <c r="L696" s="12">
        <v>521</v>
      </c>
      <c r="M696" s="12">
        <v>585</v>
      </c>
      <c r="N696" s="12">
        <v>1</v>
      </c>
      <c r="O696" s="14"/>
      <c r="P696" s="6">
        <v>43174.605115740742</v>
      </c>
      <c r="Q696" s="11"/>
      <c r="R696" s="17" t="s">
        <v>2612</v>
      </c>
      <c r="S696" s="11"/>
      <c r="T696" s="11"/>
      <c r="U696" s="10" t="str">
        <f>HYPERLINK("https://pbs.twimg.com/profile_images/1020686491838803968/_KtC9kO0.jpg","View")</f>
        <v>View</v>
      </c>
    </row>
    <row r="697" spans="1:21" ht="30.6">
      <c r="A697" s="6">
        <v>43440.87636574074</v>
      </c>
      <c r="B697" s="7" t="str">
        <f>HYPERLINK("https://twitter.com/LMmARISCAL","@LMmARISCAL")</f>
        <v>@LMmARISCAL</v>
      </c>
      <c r="C697" s="8" t="s">
        <v>2613</v>
      </c>
      <c r="D697" s="9" t="s">
        <v>2614</v>
      </c>
      <c r="E697" s="10" t="str">
        <f>HYPERLINK("https://twitter.com/LMmARISCAL/status/1070770344926040064","1070770344926040064")</f>
        <v>1070770344926040064</v>
      </c>
      <c r="F697" s="11"/>
      <c r="G697" s="11"/>
      <c r="H697" s="11"/>
      <c r="I697" s="12">
        <v>0</v>
      </c>
      <c r="J697" s="12">
        <v>0</v>
      </c>
      <c r="K697" s="13" t="str">
        <f t="shared" si="169"/>
        <v>Twitter for Android</v>
      </c>
      <c r="L697" s="12">
        <v>2134</v>
      </c>
      <c r="M697" s="12">
        <v>2049</v>
      </c>
      <c r="N697" s="12">
        <v>15</v>
      </c>
      <c r="O697" s="14"/>
      <c r="P697" s="6">
        <v>40295.845023148147</v>
      </c>
      <c r="Q697" s="15" t="s">
        <v>2615</v>
      </c>
      <c r="R697" s="17" t="s">
        <v>2616</v>
      </c>
      <c r="S697" s="11"/>
      <c r="T697" s="11"/>
      <c r="U697" s="10" t="str">
        <f>HYPERLINK("https://pbs.twimg.com/profile_images/552135885127307264/omi8Tejc.jpeg","View")</f>
        <v>View</v>
      </c>
    </row>
    <row r="698" spans="1:21" ht="51">
      <c r="A698" s="6">
        <v>43440.87336805556</v>
      </c>
      <c r="B698" s="7" t="str">
        <f>HYPERLINK("https://twitter.com/JesusPineda65","@JesusPineda65")</f>
        <v>@JesusPineda65</v>
      </c>
      <c r="C698" s="8" t="s">
        <v>2617</v>
      </c>
      <c r="D698" s="9" t="s">
        <v>2618</v>
      </c>
      <c r="E698" s="10" t="str">
        <f>HYPERLINK("https://twitter.com/JesusPineda65/status/1070769255690485762","1070769255690485762")</f>
        <v>1070769255690485762</v>
      </c>
      <c r="F698" s="11"/>
      <c r="G698" s="11"/>
      <c r="H698" s="11"/>
      <c r="I698" s="12">
        <v>11</v>
      </c>
      <c r="J698" s="12">
        <v>15</v>
      </c>
      <c r="K698" s="13" t="str">
        <f t="shared" ref="K698:K699" si="170">HYPERLINK("http://twitter.com/download/iphone","Twitter for iPhone")</f>
        <v>Twitter for iPhone</v>
      </c>
      <c r="L698" s="12">
        <v>27</v>
      </c>
      <c r="M698" s="12">
        <v>30</v>
      </c>
      <c r="N698" s="12">
        <v>0</v>
      </c>
      <c r="O698" s="14"/>
      <c r="P698" s="6">
        <v>41448.058437500003</v>
      </c>
      <c r="Q698" s="15" t="s">
        <v>56</v>
      </c>
      <c r="R698" s="18"/>
      <c r="S698" s="16" t="s">
        <v>2619</v>
      </c>
      <c r="T698" s="11"/>
      <c r="U698" s="10" t="str">
        <f>HYPERLINK("https://pbs.twimg.com/profile_images/924603606833262592/Nz5WLTCa.jpg","View")</f>
        <v>View</v>
      </c>
    </row>
    <row r="699" spans="1:21" ht="81.599999999999994">
      <c r="A699" s="6">
        <v>43440.873194444444</v>
      </c>
      <c r="B699" s="7" t="str">
        <f>HYPERLINK("https://twitter.com/ariusbou","@ariusbou")</f>
        <v>@ariusbou</v>
      </c>
      <c r="C699" s="8" t="s">
        <v>2620</v>
      </c>
      <c r="D699" s="9" t="s">
        <v>2621</v>
      </c>
      <c r="E699" s="10" t="str">
        <f>HYPERLINK("https://twitter.com/ariusbou/status/1070769196085248000","1070769196085248000")</f>
        <v>1070769196085248000</v>
      </c>
      <c r="F699" s="15" t="s">
        <v>2435</v>
      </c>
      <c r="G699" s="11"/>
      <c r="H699" s="11"/>
      <c r="I699" s="12">
        <v>0</v>
      </c>
      <c r="J699" s="12">
        <v>0</v>
      </c>
      <c r="K699" s="13" t="str">
        <f t="shared" si="170"/>
        <v>Twitter for iPhone</v>
      </c>
      <c r="L699" s="12">
        <v>454</v>
      </c>
      <c r="M699" s="12">
        <v>435</v>
      </c>
      <c r="N699" s="12">
        <v>3</v>
      </c>
      <c r="O699" s="14"/>
      <c r="P699" s="6">
        <v>41003.682916666665</v>
      </c>
      <c r="Q699" s="11"/>
      <c r="R699" s="17" t="s">
        <v>2622</v>
      </c>
      <c r="S699" s="11"/>
      <c r="T699" s="11"/>
      <c r="U699" s="10" t="str">
        <f>HYPERLINK("https://pbs.twimg.com/profile_images/925838637077590016/YY3dZ4B_.jpg","View")</f>
        <v>View</v>
      </c>
    </row>
    <row r="700" spans="1:21" ht="30.6">
      <c r="A700" s="6">
        <v>43440.872557870374</v>
      </c>
      <c r="B700" s="7" t="str">
        <f>HYPERLINK("https://twitter.com/GelGelder","@GelGelder")</f>
        <v>@GelGelder</v>
      </c>
      <c r="C700" s="8" t="s">
        <v>2623</v>
      </c>
      <c r="D700" s="9" t="s">
        <v>2624</v>
      </c>
      <c r="E700" s="10" t="str">
        <f>HYPERLINK("https://twitter.com/GelGelder/status/1070768964442087425","1070768964442087425")</f>
        <v>1070768964442087425</v>
      </c>
      <c r="F700" s="16" t="s">
        <v>1743</v>
      </c>
      <c r="G700" s="11"/>
      <c r="H700" s="11"/>
      <c r="I700" s="12">
        <v>6</v>
      </c>
      <c r="J700" s="12">
        <v>4</v>
      </c>
      <c r="K700" s="13" t="str">
        <f t="shared" ref="K700:K701" si="171">HYPERLINK("http://twitter.com/download/android","Twitter for Android")</f>
        <v>Twitter for Android</v>
      </c>
      <c r="L700" s="12">
        <v>2672</v>
      </c>
      <c r="M700" s="12">
        <v>1322</v>
      </c>
      <c r="N700" s="12">
        <v>6</v>
      </c>
      <c r="O700" s="14"/>
      <c r="P700" s="6">
        <v>40747.641180555554</v>
      </c>
      <c r="Q700" s="15" t="s">
        <v>2625</v>
      </c>
      <c r="R700" s="17" t="s">
        <v>2626</v>
      </c>
      <c r="S700" s="11"/>
      <c r="T700" s="11"/>
      <c r="U700" s="10" t="str">
        <f>HYPERLINK("https://pbs.twimg.com/profile_images/687746564006264832/0GqvYzpg.jpg","View")</f>
        <v>View</v>
      </c>
    </row>
    <row r="701" spans="1:21" ht="61.2">
      <c r="A701" s="6">
        <v>43440.870694444442</v>
      </c>
      <c r="B701" s="7" t="str">
        <f>HYPERLINK("https://twitter.com/doguionrego","@doguionrego")</f>
        <v>@doguionrego</v>
      </c>
      <c r="C701" s="8" t="s">
        <v>194</v>
      </c>
      <c r="D701" s="9" t="s">
        <v>2627</v>
      </c>
      <c r="E701" s="10" t="str">
        <f>HYPERLINK("https://twitter.com/doguionrego/status/1070768286399373312","1070768286399373312")</f>
        <v>1070768286399373312</v>
      </c>
      <c r="F701" s="15" t="s">
        <v>2628</v>
      </c>
      <c r="G701" s="11"/>
      <c r="H701" s="11"/>
      <c r="I701" s="12">
        <v>0</v>
      </c>
      <c r="J701" s="12">
        <v>0</v>
      </c>
      <c r="K701" s="13" t="str">
        <f t="shared" si="171"/>
        <v>Twitter for Android</v>
      </c>
      <c r="L701" s="12">
        <v>4650</v>
      </c>
      <c r="M701" s="12">
        <v>4774</v>
      </c>
      <c r="N701" s="12">
        <v>9</v>
      </c>
      <c r="O701" s="14"/>
      <c r="P701" s="6">
        <v>42818.633599537032</v>
      </c>
      <c r="Q701" s="15" t="s">
        <v>197</v>
      </c>
      <c r="R701" s="17" t="s">
        <v>198</v>
      </c>
      <c r="S701" s="11"/>
      <c r="T701" s="11"/>
      <c r="U701" s="10" t="str">
        <f>HYPERLINK("https://pbs.twimg.com/profile_images/937615481602789376/OBa7YPsM.jpg","View")</f>
        <v>View</v>
      </c>
    </row>
    <row r="702" spans="1:21" ht="30.6">
      <c r="A702" s="6">
        <v>43440.866215277776</v>
      </c>
      <c r="B702" s="7" t="str">
        <f>HYPERLINK("https://twitter.com/spiritlight9k","@spiritlight9k")</f>
        <v>@spiritlight9k</v>
      </c>
      <c r="C702" s="8" t="s">
        <v>2629</v>
      </c>
      <c r="D702" s="9" t="s">
        <v>2630</v>
      </c>
      <c r="E702" s="10" t="str">
        <f>HYPERLINK("https://twitter.com/spiritlight9k/status/1070766664529178625","1070766664529178625")</f>
        <v>1070766664529178625</v>
      </c>
      <c r="F702" s="11"/>
      <c r="G702" s="16" t="s">
        <v>2631</v>
      </c>
      <c r="H702" s="11"/>
      <c r="I702" s="12">
        <v>0</v>
      </c>
      <c r="J702" s="12">
        <v>0</v>
      </c>
      <c r="K702" s="13" t="str">
        <f>HYPERLINK("http://twitter.com","Twitter Web Client")</f>
        <v>Twitter Web Client</v>
      </c>
      <c r="L702" s="12">
        <v>320</v>
      </c>
      <c r="M702" s="12">
        <v>1165</v>
      </c>
      <c r="N702" s="12">
        <v>1</v>
      </c>
      <c r="O702" s="14"/>
      <c r="P702" s="6">
        <v>40610.837326388893</v>
      </c>
      <c r="Q702" s="15" t="s">
        <v>2632</v>
      </c>
      <c r="R702" s="17" t="s">
        <v>2633</v>
      </c>
      <c r="S702" s="16" t="s">
        <v>2634</v>
      </c>
      <c r="T702" s="11"/>
      <c r="U702" s="10" t="str">
        <f>HYPERLINK("https://pbs.twimg.com/profile_images/378800000673875728/9c00a44a912ae0f23197ab39fc5dfe6a.jpeg","View")</f>
        <v>View</v>
      </c>
    </row>
    <row r="703" spans="1:21" ht="81.599999999999994">
      <c r="A703" s="6">
        <v>43440.859189814815</v>
      </c>
      <c r="B703" s="7" t="str">
        <f>HYPERLINK("https://twitter.com/pensatires","@pensatires")</f>
        <v>@pensatires</v>
      </c>
      <c r="C703" s="8" t="s">
        <v>2635</v>
      </c>
      <c r="D703" s="9" t="s">
        <v>2636</v>
      </c>
      <c r="E703" s="10" t="str">
        <f>HYPERLINK("https://twitter.com/pensatires/status/1070764120251777024","1070764120251777024")</f>
        <v>1070764120251777024</v>
      </c>
      <c r="F703" s="16" t="s">
        <v>1143</v>
      </c>
      <c r="G703" s="16" t="s">
        <v>1144</v>
      </c>
      <c r="H703" s="11"/>
      <c r="I703" s="12">
        <v>0</v>
      </c>
      <c r="J703" s="12">
        <v>0</v>
      </c>
      <c r="K703" s="13" t="str">
        <f>HYPERLINK("http://twitter.com/download/iphone","Twitter for iPhone")</f>
        <v>Twitter for iPhone</v>
      </c>
      <c r="L703" s="12">
        <v>52</v>
      </c>
      <c r="M703" s="12">
        <v>44</v>
      </c>
      <c r="N703" s="12">
        <v>0</v>
      </c>
      <c r="O703" s="14"/>
      <c r="P703" s="6">
        <v>42571.813460648147</v>
      </c>
      <c r="Q703" s="15" t="s">
        <v>185</v>
      </c>
      <c r="R703" s="17" t="s">
        <v>2637</v>
      </c>
      <c r="S703" s="11"/>
      <c r="T703" s="11"/>
      <c r="U703" s="10" t="str">
        <f>HYPERLINK("https://pbs.twimg.com/profile_images/760752681703075840/9lkduTK5.jpg","View")</f>
        <v>View</v>
      </c>
    </row>
    <row r="704" spans="1:21" ht="30.6">
      <c r="A704" s="6">
        <v>43440.858344907407</v>
      </c>
      <c r="B704" s="7" t="str">
        <f>HYPERLINK("https://twitter.com/Philip_Oias","@Philip_Oias")</f>
        <v>@Philip_Oias</v>
      </c>
      <c r="C704" s="8" t="s">
        <v>2638</v>
      </c>
      <c r="D704" s="9" t="s">
        <v>2639</v>
      </c>
      <c r="E704" s="10" t="str">
        <f>HYPERLINK("https://twitter.com/Philip_Oias/status/1070763811412545538","1070763811412545538")</f>
        <v>1070763811412545538</v>
      </c>
      <c r="F704" s="16" t="s">
        <v>2580</v>
      </c>
      <c r="G704" s="11"/>
      <c r="H704" s="11"/>
      <c r="I704" s="12">
        <v>4</v>
      </c>
      <c r="J704" s="12">
        <v>0</v>
      </c>
      <c r="K704" s="13" t="str">
        <f t="shared" ref="K704:K705" si="172">HYPERLINK("http://twitter.com/download/android","Twitter for Android")</f>
        <v>Twitter for Android</v>
      </c>
      <c r="L704" s="12">
        <v>149</v>
      </c>
      <c r="M704" s="12">
        <v>1854</v>
      </c>
      <c r="N704" s="12">
        <v>1</v>
      </c>
      <c r="O704" s="14"/>
      <c r="P704" s="6">
        <v>43222.897256944445</v>
      </c>
      <c r="Q704" s="15" t="s">
        <v>2640</v>
      </c>
      <c r="R704" s="17" t="s">
        <v>2641</v>
      </c>
      <c r="S704" s="16" t="s">
        <v>2642</v>
      </c>
      <c r="T704" s="11"/>
      <c r="U704" s="10" t="str">
        <f>HYPERLINK("https://pbs.twimg.com/profile_images/991764436582109184/-swVlVzv.jpg","View")</f>
        <v>View</v>
      </c>
    </row>
    <row r="705" spans="1:21" ht="61.2">
      <c r="A705" s="6">
        <v>43440.856874999998</v>
      </c>
      <c r="B705" s="7" t="str">
        <f>HYPERLINK("https://twitter.com/memeses2","@memeses2")</f>
        <v>@memeses2</v>
      </c>
      <c r="C705" s="8" t="s">
        <v>2495</v>
      </c>
      <c r="D705" s="9" t="s">
        <v>2643</v>
      </c>
      <c r="E705" s="10" t="str">
        <f>HYPERLINK("https://twitter.com/memeses2/status/1070763280938004480","1070763280938004480")</f>
        <v>1070763280938004480</v>
      </c>
      <c r="F705" s="11"/>
      <c r="G705" s="16" t="s">
        <v>2644</v>
      </c>
      <c r="H705" s="11"/>
      <c r="I705" s="12">
        <v>0</v>
      </c>
      <c r="J705" s="12">
        <v>1</v>
      </c>
      <c r="K705" s="13" t="str">
        <f t="shared" si="172"/>
        <v>Twitter for Android</v>
      </c>
      <c r="L705" s="12">
        <v>818</v>
      </c>
      <c r="M705" s="12">
        <v>749</v>
      </c>
      <c r="N705" s="12">
        <v>1</v>
      </c>
      <c r="O705" s="14"/>
      <c r="P705" s="6">
        <v>43413.516655092593</v>
      </c>
      <c r="Q705" s="15" t="s">
        <v>197</v>
      </c>
      <c r="R705" s="17" t="s">
        <v>2499</v>
      </c>
      <c r="S705" s="11"/>
      <c r="T705" s="11"/>
      <c r="U705" s="10" t="str">
        <f>HYPERLINK("https://pbs.twimg.com/profile_images/1060857415640539136/cZbEgTAv.jpg","View")</f>
        <v>View</v>
      </c>
    </row>
    <row r="706" spans="1:21" ht="81.599999999999994">
      <c r="A706" s="6">
        <v>43440.856122685189</v>
      </c>
      <c r="B706" s="7" t="str">
        <f>HYPERLINK("https://twitter.com/Gamusinoss","@Gamusinoss")</f>
        <v>@Gamusinoss</v>
      </c>
      <c r="C706" s="8" t="s">
        <v>2645</v>
      </c>
      <c r="D706" s="9" t="s">
        <v>2646</v>
      </c>
      <c r="E706" s="10" t="str">
        <f>HYPERLINK("https://twitter.com/Gamusinoss/status/1070763009428123649","1070763009428123649")</f>
        <v>1070763009428123649</v>
      </c>
      <c r="F706" s="16" t="s">
        <v>2647</v>
      </c>
      <c r="G706" s="16" t="s">
        <v>2648</v>
      </c>
      <c r="H706" s="11"/>
      <c r="I706" s="12">
        <v>0</v>
      </c>
      <c r="J706" s="12">
        <v>0</v>
      </c>
      <c r="K706" s="13" t="str">
        <f>HYPERLINK("https://mobile.twitter.com","Twitter Lite")</f>
        <v>Twitter Lite</v>
      </c>
      <c r="L706" s="12">
        <v>663</v>
      </c>
      <c r="M706" s="12">
        <v>719</v>
      </c>
      <c r="N706" s="12">
        <v>5</v>
      </c>
      <c r="O706" s="14"/>
      <c r="P706" s="6">
        <v>40058.892662037033</v>
      </c>
      <c r="Q706" s="15" t="s">
        <v>2649</v>
      </c>
      <c r="R706" s="17" t="s">
        <v>2650</v>
      </c>
      <c r="S706" s="11"/>
      <c r="T706" s="11"/>
      <c r="U706" s="10" t="str">
        <f>HYPERLINK("https://pbs.twimg.com/profile_images/1027152344306331650/Yj023Jhk.jpg","View")</f>
        <v>View</v>
      </c>
    </row>
    <row r="707" spans="1:21" ht="51">
      <c r="A707" s="6">
        <v>43440.855266203704</v>
      </c>
      <c r="B707" s="7" t="str">
        <f>HYPERLINK("https://twitter.com/Jfdezgo90","@Jfdezgo90")</f>
        <v>@Jfdezgo90</v>
      </c>
      <c r="C707" s="8" t="s">
        <v>2651</v>
      </c>
      <c r="D707" s="9" t="s">
        <v>2652</v>
      </c>
      <c r="E707" s="10" t="str">
        <f>HYPERLINK("https://twitter.com/Jfdezgo90/status/1070762695555760130","1070762695555760130")</f>
        <v>1070762695555760130</v>
      </c>
      <c r="F707" s="15" t="s">
        <v>2653</v>
      </c>
      <c r="G707" s="11"/>
      <c r="H707" s="11"/>
      <c r="I707" s="12">
        <v>0</v>
      </c>
      <c r="J707" s="12">
        <v>0</v>
      </c>
      <c r="K707" s="13" t="str">
        <f>HYPERLINK("http://twitter.com/download/iphone","Twitter for iPhone")</f>
        <v>Twitter for iPhone</v>
      </c>
      <c r="L707" s="12">
        <v>1912</v>
      </c>
      <c r="M707" s="12">
        <v>4144</v>
      </c>
      <c r="N707" s="12">
        <v>13</v>
      </c>
      <c r="O707" s="14"/>
      <c r="P707" s="6">
        <v>41800.661921296298</v>
      </c>
      <c r="Q707" s="15" t="s">
        <v>2654</v>
      </c>
      <c r="R707" s="17" t="s">
        <v>2655</v>
      </c>
      <c r="S707" s="16" t="s">
        <v>2656</v>
      </c>
      <c r="T707" s="11"/>
      <c r="U707" s="10" t="str">
        <f>HYPERLINK("https://pbs.twimg.com/profile_images/1013847005817442306/8BV0q5Ut.jpg","View")</f>
        <v>View</v>
      </c>
    </row>
    <row r="708" spans="1:21" ht="71.400000000000006">
      <c r="A708" s="6">
        <v>43440.854675925926</v>
      </c>
      <c r="B708" s="7" t="str">
        <f>HYPERLINK("https://twitter.com/Bilbaina27","@Bilbaina27")</f>
        <v>@Bilbaina27</v>
      </c>
      <c r="C708" s="8" t="s">
        <v>2657</v>
      </c>
      <c r="D708" s="9" t="s">
        <v>2658</v>
      </c>
      <c r="E708" s="10" t="str">
        <f>HYPERLINK("https://twitter.com/Bilbaina27/status/1070762481382014978","1070762481382014978")</f>
        <v>1070762481382014978</v>
      </c>
      <c r="F708" s="15" t="s">
        <v>1539</v>
      </c>
      <c r="G708" s="11"/>
      <c r="H708" s="11"/>
      <c r="I708" s="12">
        <v>2</v>
      </c>
      <c r="J708" s="12">
        <v>5</v>
      </c>
      <c r="K708" s="13" t="str">
        <f t="shared" ref="K708:K709" si="173">HYPERLINK("http://twitter.com/download/android","Twitter for Android")</f>
        <v>Twitter for Android</v>
      </c>
      <c r="L708" s="12">
        <v>5447</v>
      </c>
      <c r="M708" s="12">
        <v>3207</v>
      </c>
      <c r="N708" s="12">
        <v>21</v>
      </c>
      <c r="O708" s="14"/>
      <c r="P708" s="6">
        <v>43307.80537037037</v>
      </c>
      <c r="Q708" s="15" t="s">
        <v>2659</v>
      </c>
      <c r="R708" s="17" t="s">
        <v>2660</v>
      </c>
      <c r="S708" s="11"/>
      <c r="T708" s="11"/>
      <c r="U708" s="10" t="str">
        <f>HYPERLINK("https://pbs.twimg.com/profile_images/1025038420266115072/yAADmc1o.jpg","View")</f>
        <v>View</v>
      </c>
    </row>
    <row r="709" spans="1:21" ht="61.2">
      <c r="A709" s="6">
        <v>43440.853958333333</v>
      </c>
      <c r="B709" s="7" t="str">
        <f>HYPERLINK("https://twitter.com/monnissima","@monnissima")</f>
        <v>@monnissima</v>
      </c>
      <c r="C709" s="8" t="s">
        <v>2661</v>
      </c>
      <c r="D709" s="9" t="s">
        <v>2662</v>
      </c>
      <c r="E709" s="10" t="str">
        <f>HYPERLINK("https://twitter.com/monnissima/status/1070762222786371586","1070762222786371586")</f>
        <v>1070762222786371586</v>
      </c>
      <c r="F709" s="11"/>
      <c r="G709" s="11"/>
      <c r="H709" s="11"/>
      <c r="I709" s="12">
        <v>1</v>
      </c>
      <c r="J709" s="12">
        <v>1</v>
      </c>
      <c r="K709" s="13" t="str">
        <f t="shared" si="173"/>
        <v>Twitter for Android</v>
      </c>
      <c r="L709" s="12">
        <v>10857</v>
      </c>
      <c r="M709" s="12">
        <v>9917</v>
      </c>
      <c r="N709" s="12">
        <v>77</v>
      </c>
      <c r="O709" s="14"/>
      <c r="P709" s="6">
        <v>39997.076874999999</v>
      </c>
      <c r="Q709" s="11"/>
      <c r="R709" s="17" t="s">
        <v>2663</v>
      </c>
      <c r="S709" s="16" t="s">
        <v>2664</v>
      </c>
      <c r="T709" s="11"/>
      <c r="U709" s="10" t="str">
        <f>HYPERLINK("https://pbs.twimg.com/profile_images/689510954627940352/rz9xXJtn.jpg","View")</f>
        <v>View</v>
      </c>
    </row>
    <row r="710" spans="1:21" ht="51">
      <c r="A710" s="6">
        <v>43440.851643518516</v>
      </c>
      <c r="B710" s="7" t="str">
        <f>HYPERLINK("https://twitter.com/mrliontiger","@mrliontiger")</f>
        <v>@mrliontiger</v>
      </c>
      <c r="C710" s="8" t="s">
        <v>2665</v>
      </c>
      <c r="D710" s="9" t="s">
        <v>2666</v>
      </c>
      <c r="E710" s="10" t="str">
        <f>HYPERLINK("https://twitter.com/mrliontiger/status/1070761385221652480","1070761385221652480")</f>
        <v>1070761385221652480</v>
      </c>
      <c r="F710" s="16" t="s">
        <v>1143</v>
      </c>
      <c r="G710" s="16" t="s">
        <v>1144</v>
      </c>
      <c r="H710" s="11"/>
      <c r="I710" s="12">
        <v>0</v>
      </c>
      <c r="J710" s="12">
        <v>0</v>
      </c>
      <c r="K710" s="13" t="str">
        <f t="shared" ref="K710:K711" si="174">HYPERLINK("http://twitter.com/download/iphone","Twitter for iPhone")</f>
        <v>Twitter for iPhone</v>
      </c>
      <c r="L710" s="12">
        <v>68</v>
      </c>
      <c r="M710" s="12">
        <v>446</v>
      </c>
      <c r="N710" s="12">
        <v>4</v>
      </c>
      <c r="O710" s="14"/>
      <c r="P710" s="6">
        <v>40373.628425925926</v>
      </c>
      <c r="Q710" s="15" t="s">
        <v>612</v>
      </c>
      <c r="R710" s="17" t="s">
        <v>2667</v>
      </c>
      <c r="S710" s="11"/>
      <c r="T710" s="11"/>
      <c r="U710" s="10" t="str">
        <f>HYPERLINK("https://pbs.twimg.com/profile_images/1052211577385086982/Wln08C1v.jpg","View")</f>
        <v>View</v>
      </c>
    </row>
    <row r="711" spans="1:21" ht="81.599999999999994">
      <c r="A711" s="6">
        <v>43440.850439814814</v>
      </c>
      <c r="B711" s="7" t="str">
        <f>HYPERLINK("https://twitter.com/Espanol_ctlan","@Espanol_ctlan")</f>
        <v>@Espanol_ctlan</v>
      </c>
      <c r="C711" s="8" t="s">
        <v>2668</v>
      </c>
      <c r="D711" s="9" t="s">
        <v>2669</v>
      </c>
      <c r="E711" s="10" t="str">
        <f>HYPERLINK("https://twitter.com/Espanol_ctlan/status/1070760947206250503","1070760947206250503")</f>
        <v>1070760947206250503</v>
      </c>
      <c r="F711" s="16" t="s">
        <v>2670</v>
      </c>
      <c r="G711" s="16" t="s">
        <v>2671</v>
      </c>
      <c r="H711" s="11"/>
      <c r="I711" s="12">
        <v>0</v>
      </c>
      <c r="J711" s="12">
        <v>0</v>
      </c>
      <c r="K711" s="13" t="str">
        <f t="shared" si="174"/>
        <v>Twitter for iPhone</v>
      </c>
      <c r="L711" s="12">
        <v>1097</v>
      </c>
      <c r="M711" s="12">
        <v>1167</v>
      </c>
      <c r="N711" s="12">
        <v>7</v>
      </c>
      <c r="O711" s="14"/>
      <c r="P711" s="6">
        <v>41165.930138888885</v>
      </c>
      <c r="Q711" s="15" t="s">
        <v>2672</v>
      </c>
      <c r="R711" s="17" t="s">
        <v>2673</v>
      </c>
      <c r="S711" s="11"/>
      <c r="T711" s="11"/>
      <c r="U711" s="10" t="str">
        <f>HYPERLINK("https://pbs.twimg.com/profile_images/716286143025778689/hnMd4bld.jpg","View")</f>
        <v>View</v>
      </c>
    </row>
    <row r="712" spans="1:21" ht="40.799999999999997">
      <c r="A712" s="6">
        <v>43440.849178240736</v>
      </c>
      <c r="B712" s="7" t="str">
        <f>HYPERLINK("https://twitter.com/Rabascoficial","@Rabascoficial")</f>
        <v>@Rabascoficial</v>
      </c>
      <c r="C712" s="27" t="s">
        <v>2674</v>
      </c>
      <c r="D712" s="9" t="s">
        <v>2675</v>
      </c>
      <c r="E712" s="10" t="str">
        <f>HYPERLINK("https://twitter.com/Rabascoficial/status/1070760490870149122","1070760490870149122")</f>
        <v>1070760490870149122</v>
      </c>
      <c r="F712" s="15" t="s">
        <v>2676</v>
      </c>
      <c r="G712" s="11"/>
      <c r="H712" s="11"/>
      <c r="I712" s="12">
        <v>0</v>
      </c>
      <c r="J712" s="12">
        <v>0</v>
      </c>
      <c r="K712" s="13" t="str">
        <f>HYPERLINK("http://twitter.com/download/android","Twitter for Android")</f>
        <v>Twitter for Android</v>
      </c>
      <c r="L712" s="12">
        <v>3650</v>
      </c>
      <c r="M712" s="12">
        <v>1814</v>
      </c>
      <c r="N712" s="12">
        <v>49</v>
      </c>
      <c r="O712" s="14"/>
      <c r="P712" s="6">
        <v>42062.495532407411</v>
      </c>
      <c r="Q712" s="15" t="s">
        <v>618</v>
      </c>
      <c r="R712" s="17" t="s">
        <v>2677</v>
      </c>
      <c r="S712" s="16" t="s">
        <v>2678</v>
      </c>
      <c r="T712" s="11"/>
      <c r="U712" s="10" t="str">
        <f>HYPERLINK("https://pbs.twimg.com/profile_images/1059951276149088257/2qQge0HZ.jpg","View")</f>
        <v>View</v>
      </c>
    </row>
    <row r="713" spans="1:21" ht="20.399999999999999">
      <c r="A713" s="6">
        <v>43440.848217592589</v>
      </c>
      <c r="B713" s="7" t="str">
        <f>HYPERLINK("https://twitter.com/LosGenoveses","@LosGenoveses")</f>
        <v>@LosGenoveses</v>
      </c>
      <c r="C713" s="8" t="s">
        <v>2679</v>
      </c>
      <c r="D713" s="9" t="s">
        <v>2680</v>
      </c>
      <c r="E713" s="10" t="str">
        <f>HYPERLINK("https://twitter.com/LosGenoveses/status/1070760143149821953","1070760143149821953")</f>
        <v>1070760143149821953</v>
      </c>
      <c r="F713" s="16" t="s">
        <v>2681</v>
      </c>
      <c r="G713" s="11"/>
      <c r="H713" s="11"/>
      <c r="I713" s="12">
        <v>37</v>
      </c>
      <c r="J713" s="12">
        <v>9</v>
      </c>
      <c r="K713" s="13" t="str">
        <f>HYPERLINK("http://twitter.com/download/iphone","Twitter for iPhone")</f>
        <v>Twitter for iPhone</v>
      </c>
      <c r="L713" s="12">
        <v>30864</v>
      </c>
      <c r="M713" s="12">
        <v>2037</v>
      </c>
      <c r="N713" s="12">
        <v>426</v>
      </c>
      <c r="O713" s="14"/>
      <c r="P713" s="6">
        <v>40714.927210648151</v>
      </c>
      <c r="Q713" s="15" t="s">
        <v>2682</v>
      </c>
      <c r="R713" s="17" t="s">
        <v>2683</v>
      </c>
      <c r="S713" s="16" t="s">
        <v>2684</v>
      </c>
      <c r="T713" s="11"/>
      <c r="U713" s="10" t="str">
        <f>HYPERLINK("https://pbs.twimg.com/profile_images/1028256150284894209/mF836oJq.jpg","View")</f>
        <v>View</v>
      </c>
    </row>
    <row r="714" spans="1:21" ht="71.400000000000006">
      <c r="A714" s="6">
        <v>43440.844247685185</v>
      </c>
      <c r="B714" s="7" t="str">
        <f>HYPERLINK("https://twitter.com/Kamikaze_1979","@Kamikaze_1979")</f>
        <v>@Kamikaze_1979</v>
      </c>
      <c r="C714" s="8" t="s">
        <v>1436</v>
      </c>
      <c r="D714" s="9" t="s">
        <v>2685</v>
      </c>
      <c r="E714" s="10" t="str">
        <f>HYPERLINK("https://twitter.com/Kamikaze_1979/status/1070758703341674496","1070758703341674496")</f>
        <v>1070758703341674496</v>
      </c>
      <c r="F714" s="16" t="s">
        <v>2592</v>
      </c>
      <c r="G714" s="16" t="s">
        <v>2593</v>
      </c>
      <c r="H714" s="11"/>
      <c r="I714" s="12">
        <v>46</v>
      </c>
      <c r="J714" s="12">
        <v>54</v>
      </c>
      <c r="K714" s="13" t="str">
        <f>HYPERLINK("http://twitter.com/download/android","Twitter for Android")</f>
        <v>Twitter for Android</v>
      </c>
      <c r="L714" s="12">
        <v>2286</v>
      </c>
      <c r="M714" s="12">
        <v>4376</v>
      </c>
      <c r="N714" s="12">
        <v>3</v>
      </c>
      <c r="O714" s="14"/>
      <c r="P714" s="6">
        <v>41300.544317129628</v>
      </c>
      <c r="Q714" s="15" t="s">
        <v>1440</v>
      </c>
      <c r="R714" s="17" t="s">
        <v>1441</v>
      </c>
      <c r="S714" s="11"/>
      <c r="T714" s="11"/>
      <c r="U714" s="10" t="str">
        <f>HYPERLINK("https://pbs.twimg.com/profile_images/959511746888241153/YHl0tzzf.jpg","View")</f>
        <v>View</v>
      </c>
    </row>
    <row r="715" spans="1:21" ht="40.799999999999997">
      <c r="A715" s="6">
        <v>43440.841585648144</v>
      </c>
      <c r="B715" s="7" t="str">
        <f>HYPERLINK("https://twitter.com/godokoro","@godokoro")</f>
        <v>@godokoro</v>
      </c>
      <c r="C715" s="8" t="s">
        <v>2686</v>
      </c>
      <c r="D715" s="9" t="s">
        <v>2687</v>
      </c>
      <c r="E715" s="10" t="str">
        <f>HYPERLINK("https://twitter.com/godokoro/status/1070757739759054849","1070757739759054849")</f>
        <v>1070757739759054849</v>
      </c>
      <c r="F715" s="11"/>
      <c r="G715" s="11"/>
      <c r="H715" s="11"/>
      <c r="I715" s="12">
        <v>0</v>
      </c>
      <c r="J715" s="12">
        <v>0</v>
      </c>
      <c r="K715" s="13" t="str">
        <f>HYPERLINK("http://twitter.com","Twitter Web Client")</f>
        <v>Twitter Web Client</v>
      </c>
      <c r="L715" s="12">
        <v>69</v>
      </c>
      <c r="M715" s="12">
        <v>121</v>
      </c>
      <c r="N715" s="12">
        <v>3</v>
      </c>
      <c r="O715" s="14"/>
      <c r="P715" s="6">
        <v>41916.934999999998</v>
      </c>
      <c r="Q715" s="11"/>
      <c r="R715" s="18"/>
      <c r="S715" s="11"/>
      <c r="T715" s="11"/>
      <c r="U715" s="10" t="str">
        <f>HYPERLINK("https://pbs.twimg.com/profile_images/689355146288041988/pjPHtg3m.jpg","View")</f>
        <v>View</v>
      </c>
    </row>
    <row r="716" spans="1:21" ht="13.2">
      <c r="A716" s="6">
        <v>43440.839004629626</v>
      </c>
      <c r="B716" s="7" t="str">
        <f>HYPERLINK("https://twitter.com/qqqqetru","@qqqqetru")</f>
        <v>@qqqqetru</v>
      </c>
      <c r="C716" s="8" t="s">
        <v>843</v>
      </c>
      <c r="D716" s="9" t="s">
        <v>2688</v>
      </c>
      <c r="E716" s="10" t="str">
        <f>HYPERLINK("https://twitter.com/qqqqetru/status/1070756803921801216","1070756803921801216")</f>
        <v>1070756803921801216</v>
      </c>
      <c r="F716" s="11"/>
      <c r="G716" s="16" t="s">
        <v>2689</v>
      </c>
      <c r="H716" s="11"/>
      <c r="I716" s="12">
        <v>1</v>
      </c>
      <c r="J716" s="12">
        <v>0</v>
      </c>
      <c r="K716" s="13" t="str">
        <f t="shared" ref="K716:K718" si="175">HYPERLINK("http://twitter.com/download/android","Twitter for Android")</f>
        <v>Twitter for Android</v>
      </c>
      <c r="L716" s="12">
        <v>649</v>
      </c>
      <c r="M716" s="12">
        <v>1194</v>
      </c>
      <c r="N716" s="12">
        <v>2</v>
      </c>
      <c r="O716" s="14"/>
      <c r="P716" s="6">
        <v>40749.437719907408</v>
      </c>
      <c r="Q716" s="11"/>
      <c r="R716" s="18"/>
      <c r="S716" s="11"/>
      <c r="T716" s="11"/>
      <c r="U716" s="10" t="str">
        <f>HYPERLINK("https://pbs.twimg.com/profile_images/1069734331780870144/d_KYpBFy.jpg","View")</f>
        <v>View</v>
      </c>
    </row>
    <row r="717" spans="1:21" ht="40.799999999999997">
      <c r="A717" s="6">
        <v>43440.834293981483</v>
      </c>
      <c r="B717" s="7" t="str">
        <f>HYPERLINK("https://twitter.com/KikoRosique","@KikoRosique")</f>
        <v>@KikoRosique</v>
      </c>
      <c r="C717" s="8" t="s">
        <v>2690</v>
      </c>
      <c r="D717" s="9" t="s">
        <v>2691</v>
      </c>
      <c r="E717" s="10" t="str">
        <f>HYPERLINK("https://twitter.com/KikoRosique/status/1070755096932347904","1070755096932347904")</f>
        <v>1070755096932347904</v>
      </c>
      <c r="F717" s="16" t="s">
        <v>2692</v>
      </c>
      <c r="G717" s="11"/>
      <c r="H717" s="11"/>
      <c r="I717" s="12">
        <v>0</v>
      </c>
      <c r="J717" s="12">
        <v>0</v>
      </c>
      <c r="K717" s="13" t="str">
        <f t="shared" si="175"/>
        <v>Twitter for Android</v>
      </c>
      <c r="L717" s="12">
        <v>539</v>
      </c>
      <c r="M717" s="12">
        <v>801</v>
      </c>
      <c r="N717" s="12">
        <v>26</v>
      </c>
      <c r="O717" s="14"/>
      <c r="P717" s="6">
        <v>40521.776493055557</v>
      </c>
      <c r="Q717" s="15" t="s">
        <v>612</v>
      </c>
      <c r="R717" s="17" t="s">
        <v>2693</v>
      </c>
      <c r="S717" s="16" t="s">
        <v>2694</v>
      </c>
      <c r="T717" s="11"/>
      <c r="U717" s="10" t="str">
        <f>HYPERLINK("https://pbs.twimg.com/profile_images/488959919916216320/pKuRZPD9.jpeg","View")</f>
        <v>View</v>
      </c>
    </row>
    <row r="718" spans="1:21" ht="40.799999999999997">
      <c r="A718" s="6">
        <v>43440.833703703705</v>
      </c>
      <c r="B718" s="7" t="str">
        <f>HYPERLINK("https://twitter.com/ElWekeweke","@ElWekeweke")</f>
        <v>@ElWekeweke</v>
      </c>
      <c r="C718" s="8" t="s">
        <v>2695</v>
      </c>
      <c r="D718" s="9" t="s">
        <v>2696</v>
      </c>
      <c r="E718" s="10" t="str">
        <f>HYPERLINK("https://twitter.com/ElWekeweke/status/1070754884792844289","1070754884792844289")</f>
        <v>1070754884792844289</v>
      </c>
      <c r="F718" s="11"/>
      <c r="G718" s="16" t="s">
        <v>2697</v>
      </c>
      <c r="H718" s="11"/>
      <c r="I718" s="12">
        <v>0</v>
      </c>
      <c r="J718" s="12">
        <v>0</v>
      </c>
      <c r="K718" s="13" t="str">
        <f t="shared" si="175"/>
        <v>Twitter for Android</v>
      </c>
      <c r="L718" s="12">
        <v>916</v>
      </c>
      <c r="M718" s="12">
        <v>1569</v>
      </c>
      <c r="N718" s="12">
        <v>3</v>
      </c>
      <c r="O718" s="14"/>
      <c r="P718" s="6">
        <v>40652.944618055553</v>
      </c>
      <c r="Q718" s="15" t="s">
        <v>2698</v>
      </c>
      <c r="R718" s="17" t="s">
        <v>2699</v>
      </c>
      <c r="S718" s="11"/>
      <c r="T718" s="11"/>
      <c r="U718" s="10" t="str">
        <f>HYPERLINK("https://pbs.twimg.com/profile_images/910953700323098629/XrlFm-zj.jpg","View")</f>
        <v>View</v>
      </c>
    </row>
    <row r="719" spans="1:21" ht="20.399999999999999">
      <c r="A719" s="6">
        <v>43440.832303240742</v>
      </c>
      <c r="B719" s="7" t="str">
        <f>HYPERLINK("https://twitter.com/juanjomell","@juanjomell")</f>
        <v>@juanjomell</v>
      </c>
      <c r="C719" s="8" t="s">
        <v>2700</v>
      </c>
      <c r="D719" s="9" t="s">
        <v>1042</v>
      </c>
      <c r="E719" s="10" t="str">
        <f>HYPERLINK("https://twitter.com/juanjomell/status/1070754374127804418","1070754374127804418")</f>
        <v>1070754374127804418</v>
      </c>
      <c r="F719" s="16" t="s">
        <v>1043</v>
      </c>
      <c r="G719" s="11"/>
      <c r="H719" s="11"/>
      <c r="I719" s="12">
        <v>0</v>
      </c>
      <c r="J719" s="12">
        <v>0</v>
      </c>
      <c r="K719" s="13" t="str">
        <f>HYPERLINK("https://www.google.com/","Google")</f>
        <v>Google</v>
      </c>
      <c r="L719" s="12">
        <v>139</v>
      </c>
      <c r="M719" s="12">
        <v>26</v>
      </c>
      <c r="N719" s="12">
        <v>0</v>
      </c>
      <c r="O719" s="14"/>
      <c r="P719" s="6">
        <v>42788.383379629631</v>
      </c>
      <c r="Q719" s="11"/>
      <c r="R719" s="17" t="s">
        <v>2701</v>
      </c>
      <c r="S719" s="11"/>
      <c r="T719" s="11"/>
      <c r="U719" s="10" t="str">
        <f>HYPERLINK("https://pbs.twimg.com/profile_images/834334316926758912/sSnJ1BOe.jpg","View")</f>
        <v>View</v>
      </c>
    </row>
    <row r="720" spans="1:21" ht="51">
      <c r="A720" s="6">
        <v>43440.826307870375</v>
      </c>
      <c r="B720" s="7" t="str">
        <f>HYPERLINK("https://twitter.com/CaparzoPvt","@CaparzoPvt")</f>
        <v>@CaparzoPvt</v>
      </c>
      <c r="C720" s="8" t="s">
        <v>2702</v>
      </c>
      <c r="D720" s="9" t="s">
        <v>2703</v>
      </c>
      <c r="E720" s="10" t="str">
        <f>HYPERLINK("https://twitter.com/CaparzoPvt/status/1070752201105125376","1070752201105125376")</f>
        <v>1070752201105125376</v>
      </c>
      <c r="F720" s="16" t="s">
        <v>2704</v>
      </c>
      <c r="G720" s="11"/>
      <c r="H720" s="11"/>
      <c r="I720" s="12">
        <v>0</v>
      </c>
      <c r="J720" s="12">
        <v>0</v>
      </c>
      <c r="K720" s="13" t="str">
        <f>HYPERLINK("http://twitter.com/download/android","Twitter for Android")</f>
        <v>Twitter for Android</v>
      </c>
      <c r="L720" s="12">
        <v>89</v>
      </c>
      <c r="M720" s="12">
        <v>226</v>
      </c>
      <c r="N720" s="12">
        <v>2</v>
      </c>
      <c r="O720" s="14"/>
      <c r="P720" s="6">
        <v>43226.876307870371</v>
      </c>
      <c r="Q720" s="15" t="s">
        <v>2705</v>
      </c>
      <c r="R720" s="17" t="s">
        <v>2706</v>
      </c>
      <c r="S720" s="11"/>
      <c r="T720" s="11"/>
      <c r="U720" s="10" t="str">
        <f>HYPERLINK("https://pbs.twimg.com/profile_images/993207933117845505/tU461l6X.jpg","View")</f>
        <v>View</v>
      </c>
    </row>
    <row r="721" spans="1:21" ht="61.2">
      <c r="A721" s="6">
        <v>43440.824016203704</v>
      </c>
      <c r="B721" s="7" t="str">
        <f>HYPERLINK("https://twitter.com/ElDoctorMabuse","@ElDoctorMabuse")</f>
        <v>@ElDoctorMabuse</v>
      </c>
      <c r="C721" s="8" t="s">
        <v>2707</v>
      </c>
      <c r="D721" s="9" t="s">
        <v>2708</v>
      </c>
      <c r="E721" s="10" t="str">
        <f>HYPERLINK("https://twitter.com/ElDoctorMabuse/status/1070751374000951296","1070751374000951296")</f>
        <v>1070751374000951296</v>
      </c>
      <c r="F721" s="11"/>
      <c r="G721" s="16" t="s">
        <v>2709</v>
      </c>
      <c r="H721" s="11"/>
      <c r="I721" s="12">
        <v>0</v>
      </c>
      <c r="J721" s="12">
        <v>0</v>
      </c>
      <c r="K721" s="13" t="str">
        <f>HYPERLINK("http://twitter.com/#!/download/ipad","Twitter for iPad")</f>
        <v>Twitter for iPad</v>
      </c>
      <c r="L721" s="12">
        <v>250</v>
      </c>
      <c r="M721" s="12">
        <v>555</v>
      </c>
      <c r="N721" s="12">
        <v>11</v>
      </c>
      <c r="O721" s="14"/>
      <c r="P721" s="6">
        <v>40273.293067129627</v>
      </c>
      <c r="Q721" s="15" t="s">
        <v>2710</v>
      </c>
      <c r="R721" s="17" t="s">
        <v>2711</v>
      </c>
      <c r="S721" s="16" t="s">
        <v>2712</v>
      </c>
      <c r="T721" s="11"/>
      <c r="U721" s="10" t="str">
        <f>HYPERLINK("https://pbs.twimg.com/profile_images/442391428069879808/46XrmQAl.jpeg","View")</f>
        <v>View</v>
      </c>
    </row>
    <row r="722" spans="1:21" ht="40.799999999999997">
      <c r="A722" s="6">
        <v>43440.82267361111</v>
      </c>
      <c r="B722" s="7" t="str">
        <f>HYPERLINK("https://twitter.com/robersanchez98","@robersanchez98")</f>
        <v>@robersanchez98</v>
      </c>
      <c r="C722" s="8" t="s">
        <v>2713</v>
      </c>
      <c r="D722" s="9" t="s">
        <v>2714</v>
      </c>
      <c r="E722" s="10" t="str">
        <f>HYPERLINK("https://twitter.com/robersanchez98/status/1070750886379577345","1070750886379577345")</f>
        <v>1070750886379577345</v>
      </c>
      <c r="F722" s="16" t="s">
        <v>2715</v>
      </c>
      <c r="G722" s="11"/>
      <c r="H722" s="11"/>
      <c r="I722" s="12">
        <v>0</v>
      </c>
      <c r="J722" s="12">
        <v>0</v>
      </c>
      <c r="K722" s="13" t="str">
        <f t="shared" ref="K722:K723" si="176">HYPERLINK("http://twitter.com/download/android","Twitter for Android")</f>
        <v>Twitter for Android</v>
      </c>
      <c r="L722" s="12">
        <v>248</v>
      </c>
      <c r="M722" s="12">
        <v>449</v>
      </c>
      <c r="N722" s="12">
        <v>9</v>
      </c>
      <c r="O722" s="14"/>
      <c r="P722" s="6">
        <v>41909.51258101852</v>
      </c>
      <c r="Q722" s="15" t="s">
        <v>118</v>
      </c>
      <c r="R722" s="17" t="s">
        <v>2716</v>
      </c>
      <c r="S722" s="11"/>
      <c r="T722" s="11"/>
      <c r="U722" s="10" t="str">
        <f>HYPERLINK("https://pbs.twimg.com/profile_images/1031962076003147776/JvDVrA12.jpg","View")</f>
        <v>View</v>
      </c>
    </row>
    <row r="723" spans="1:21" ht="51">
      <c r="A723" s="6">
        <v>43440.821226851855</v>
      </c>
      <c r="B723" s="7" t="str">
        <f>HYPERLINK("https://twitter.com/QuiquinRr","@QuiquinRr")</f>
        <v>@QuiquinRr</v>
      </c>
      <c r="C723" s="8" t="s">
        <v>2717</v>
      </c>
      <c r="D723" s="9" t="s">
        <v>2718</v>
      </c>
      <c r="E723" s="10" t="str">
        <f>HYPERLINK("https://twitter.com/QuiquinRr/status/1070750362787868672","1070750362787868672")</f>
        <v>1070750362787868672</v>
      </c>
      <c r="F723" s="16" t="s">
        <v>2719</v>
      </c>
      <c r="G723" s="11"/>
      <c r="H723" s="11"/>
      <c r="I723" s="12">
        <v>17</v>
      </c>
      <c r="J723" s="12">
        <v>7</v>
      </c>
      <c r="K723" s="13" t="str">
        <f t="shared" si="176"/>
        <v>Twitter for Android</v>
      </c>
      <c r="L723" s="12">
        <v>370</v>
      </c>
      <c r="M723" s="12">
        <v>493</v>
      </c>
      <c r="N723" s="12">
        <v>4</v>
      </c>
      <c r="O723" s="14"/>
      <c r="P723" s="6">
        <v>40639.332476851851</v>
      </c>
      <c r="Q723" s="15" t="s">
        <v>2720</v>
      </c>
      <c r="R723" s="17" t="s">
        <v>2721</v>
      </c>
      <c r="S723" s="16" t="s">
        <v>2722</v>
      </c>
      <c r="T723" s="11"/>
      <c r="U723" s="10" t="str">
        <f>HYPERLINK("https://pbs.twimg.com/profile_images/1030380070807003136/lMqGYbiZ.jpg","View")</f>
        <v>View</v>
      </c>
    </row>
    <row r="724" spans="1:21" ht="91.8">
      <c r="A724" s="6">
        <v>43440.820740740739</v>
      </c>
      <c r="B724" s="7" t="str">
        <f>HYPERLINK("https://twitter.com/NSkdes","@NSkdes")</f>
        <v>@NSkdes</v>
      </c>
      <c r="C724" s="8" t="s">
        <v>2723</v>
      </c>
      <c r="D724" s="9" t="s">
        <v>2724</v>
      </c>
      <c r="E724" s="10" t="str">
        <f>HYPERLINK("https://twitter.com/NSkdes/status/1070750187423973377","1070750187423973377")</f>
        <v>1070750187423973377</v>
      </c>
      <c r="F724" s="16" t="s">
        <v>2725</v>
      </c>
      <c r="G724" s="16" t="s">
        <v>2726</v>
      </c>
      <c r="H724" s="11"/>
      <c r="I724" s="12">
        <v>0</v>
      </c>
      <c r="J724" s="12">
        <v>0</v>
      </c>
      <c r="K724" s="13" t="str">
        <f t="shared" ref="K724:K725" si="177">HYPERLINK("http://twitter.com/download/iphone","Twitter for iPhone")</f>
        <v>Twitter for iPhone</v>
      </c>
      <c r="L724" s="12">
        <v>146</v>
      </c>
      <c r="M724" s="12">
        <v>97</v>
      </c>
      <c r="N724" s="12">
        <v>5</v>
      </c>
      <c r="O724" s="14"/>
      <c r="P724" s="6">
        <v>40711.005532407406</v>
      </c>
      <c r="Q724" s="15" t="s">
        <v>2727</v>
      </c>
      <c r="R724" s="18"/>
      <c r="S724" s="11"/>
      <c r="T724" s="11"/>
      <c r="U724" s="10" t="str">
        <f>HYPERLINK("https://pbs.twimg.com/profile_images/946911169197084673/lrS1k4L-.jpg","View")</f>
        <v>View</v>
      </c>
    </row>
    <row r="725" spans="1:21" ht="40.799999999999997">
      <c r="A725" s="6">
        <v>43440.820439814815</v>
      </c>
      <c r="B725" s="7" t="str">
        <f>HYPERLINK("https://twitter.com/LuiFerCarS","@LuiFerCarS")</f>
        <v>@LuiFerCarS</v>
      </c>
      <c r="C725" s="8" t="s">
        <v>2728</v>
      </c>
      <c r="D725" s="9" t="s">
        <v>2729</v>
      </c>
      <c r="E725" s="10" t="str">
        <f>HYPERLINK("https://twitter.com/LuiFerCarS/status/1070750078049157120","1070750078049157120")</f>
        <v>1070750078049157120</v>
      </c>
      <c r="F725" s="11"/>
      <c r="G725" s="16" t="s">
        <v>2730</v>
      </c>
      <c r="H725" s="11"/>
      <c r="I725" s="12">
        <v>2</v>
      </c>
      <c r="J725" s="12">
        <v>2</v>
      </c>
      <c r="K725" s="13" t="str">
        <f t="shared" si="177"/>
        <v>Twitter for iPhone</v>
      </c>
      <c r="L725" s="12">
        <v>380</v>
      </c>
      <c r="M725" s="12">
        <v>1108</v>
      </c>
      <c r="N725" s="12">
        <v>1</v>
      </c>
      <c r="O725" s="14"/>
      <c r="P725" s="6">
        <v>41890.810173611113</v>
      </c>
      <c r="Q725" s="15" t="s">
        <v>2731</v>
      </c>
      <c r="R725" s="17" t="s">
        <v>2732</v>
      </c>
      <c r="S725" s="11"/>
      <c r="T725" s="11"/>
      <c r="U725" s="10" t="str">
        <f>HYPERLINK("https://pbs.twimg.com/profile_images/1070362850420514816/ZG3ZAhjY.jpg","View")</f>
        <v>View</v>
      </c>
    </row>
    <row r="726" spans="1:21" ht="30.6">
      <c r="A726" s="6">
        <v>43440.810196759259</v>
      </c>
      <c r="B726" s="7" t="str">
        <f>HYPERLINK("https://twitter.com/adrigvillanueva","@adrigvillanueva")</f>
        <v>@adrigvillanueva</v>
      </c>
      <c r="C726" s="8" t="s">
        <v>595</v>
      </c>
      <c r="D726" s="9" t="s">
        <v>2733</v>
      </c>
      <c r="E726" s="10" t="str">
        <f>HYPERLINK("https://twitter.com/adrigvillanueva/status/1070746364177473537","1070746364177473537")</f>
        <v>1070746364177473537</v>
      </c>
      <c r="F726" s="11"/>
      <c r="G726" s="11"/>
      <c r="H726" s="11"/>
      <c r="I726" s="12">
        <v>0</v>
      </c>
      <c r="J726" s="12">
        <v>0</v>
      </c>
      <c r="K726" s="13" t="str">
        <f>HYPERLINK("http://twitter.com/download/android","Twitter for Android")</f>
        <v>Twitter for Android</v>
      </c>
      <c r="L726" s="12">
        <v>61</v>
      </c>
      <c r="M726" s="12">
        <v>82</v>
      </c>
      <c r="N726" s="12">
        <v>0</v>
      </c>
      <c r="O726" s="14"/>
      <c r="P726" s="6">
        <v>43069.572962962964</v>
      </c>
      <c r="Q726" s="11"/>
      <c r="R726" s="17" t="s">
        <v>598</v>
      </c>
      <c r="S726" s="11"/>
      <c r="T726" s="11"/>
      <c r="U726" s="10" t="str">
        <f>HYPERLINK("https://pbs.twimg.com/profile_images/1065187462211866624/irA6A1Wg.jpg","View")</f>
        <v>View</v>
      </c>
    </row>
    <row r="727" spans="1:21" ht="102">
      <c r="A727" s="6">
        <v>43440.806203703702</v>
      </c>
      <c r="B727" s="7" t="str">
        <f>HYPERLINK("https://twitter.com/RebecaMateos","@RebecaMateos")</f>
        <v>@RebecaMateos</v>
      </c>
      <c r="C727" s="8" t="s">
        <v>2734</v>
      </c>
      <c r="D727" s="9" t="s">
        <v>2735</v>
      </c>
      <c r="E727" s="10" t="str">
        <f>HYPERLINK("https://twitter.com/RebecaMateos/status/1070744916853182464","1070744916853182464")</f>
        <v>1070744916853182464</v>
      </c>
      <c r="F727" s="15" t="s">
        <v>2736</v>
      </c>
      <c r="G727" s="11"/>
      <c r="H727" s="11"/>
      <c r="I727" s="12">
        <v>0</v>
      </c>
      <c r="J727" s="12">
        <v>0</v>
      </c>
      <c r="K727" s="13" t="str">
        <f>HYPERLINK("http://twitter.com","Twitter Web Client")</f>
        <v>Twitter Web Client</v>
      </c>
      <c r="L727" s="12">
        <v>765</v>
      </c>
      <c r="M727" s="12">
        <v>590</v>
      </c>
      <c r="N727" s="12">
        <v>66</v>
      </c>
      <c r="O727" s="14"/>
      <c r="P727" s="6">
        <v>40268.990624999999</v>
      </c>
      <c r="Q727" s="15" t="s">
        <v>2737</v>
      </c>
      <c r="R727" s="17" t="s">
        <v>2738</v>
      </c>
      <c r="S727" s="11"/>
      <c r="T727" s="11"/>
      <c r="U727" s="10" t="str">
        <f>HYPERLINK("https://pbs.twimg.com/profile_images/1068841398860959747/Nt91vldm.jpg","View")</f>
        <v>View</v>
      </c>
    </row>
    <row r="728" spans="1:21" ht="40.799999999999997">
      <c r="A728" s="6">
        <v>43440.805092592593</v>
      </c>
      <c r="B728" s="7" t="str">
        <f>HYPERLINK("https://twitter.com/JAVIERCHAVESFL2","@JAVIERCHAVESFL2")</f>
        <v>@JAVIERCHAVESFL2</v>
      </c>
      <c r="C728" s="8" t="s">
        <v>2739</v>
      </c>
      <c r="D728" s="9" t="s">
        <v>2740</v>
      </c>
      <c r="E728" s="10" t="str">
        <f>HYPERLINK("https://twitter.com/JAVIERCHAVESFL2/status/1070744514632040449","1070744514632040449")</f>
        <v>1070744514632040449</v>
      </c>
      <c r="F728" s="11"/>
      <c r="G728" s="11"/>
      <c r="H728" s="11"/>
      <c r="I728" s="12">
        <v>0</v>
      </c>
      <c r="J728" s="12">
        <v>0</v>
      </c>
      <c r="K728" s="13" t="str">
        <f>HYPERLINK("http://twitter.com/download/android","Twitter for Android")</f>
        <v>Twitter for Android</v>
      </c>
      <c r="L728" s="12">
        <v>20</v>
      </c>
      <c r="M728" s="12">
        <v>136</v>
      </c>
      <c r="N728" s="12">
        <v>0</v>
      </c>
      <c r="O728" s="14"/>
      <c r="P728" s="6">
        <v>43360.925057870365</v>
      </c>
      <c r="Q728" s="15" t="s">
        <v>197</v>
      </c>
      <c r="R728" s="17" t="s">
        <v>2741</v>
      </c>
      <c r="S728" s="11"/>
      <c r="T728" s="11"/>
      <c r="U728" s="10" t="str">
        <f>HYPERLINK("https://pbs.twimg.com/profile_images/1070738822806323202/P8yaGIMN.jpg","View")</f>
        <v>View</v>
      </c>
    </row>
    <row r="729" spans="1:21" ht="71.400000000000006">
      <c r="A729" s="6">
        <v>43440.80369212963</v>
      </c>
      <c r="B729" s="7" t="str">
        <f>HYPERLINK("https://twitter.com/ElDoctorMabuse","@ElDoctorMabuse")</f>
        <v>@ElDoctorMabuse</v>
      </c>
      <c r="C729" s="8" t="s">
        <v>2707</v>
      </c>
      <c r="D729" s="9" t="s">
        <v>2742</v>
      </c>
      <c r="E729" s="10" t="str">
        <f>HYPERLINK("https://twitter.com/ElDoctorMabuse/status/1070744005850349569","1070744005850349569")</f>
        <v>1070744005850349569</v>
      </c>
      <c r="F729" s="11"/>
      <c r="G729" s="16" t="s">
        <v>2743</v>
      </c>
      <c r="H729" s="11"/>
      <c r="I729" s="12">
        <v>0</v>
      </c>
      <c r="J729" s="12">
        <v>0</v>
      </c>
      <c r="K729" s="13" t="str">
        <f>HYPERLINK("http://twitter.com/#!/download/ipad","Twitter for iPad")</f>
        <v>Twitter for iPad</v>
      </c>
      <c r="L729" s="12">
        <v>250</v>
      </c>
      <c r="M729" s="12">
        <v>555</v>
      </c>
      <c r="N729" s="12">
        <v>11</v>
      </c>
      <c r="O729" s="14"/>
      <c r="P729" s="6">
        <v>40273.293067129627</v>
      </c>
      <c r="Q729" s="15" t="s">
        <v>2710</v>
      </c>
      <c r="R729" s="17" t="s">
        <v>2711</v>
      </c>
      <c r="S729" s="16" t="s">
        <v>2712</v>
      </c>
      <c r="T729" s="11"/>
      <c r="U729" s="10" t="str">
        <f>HYPERLINK("https://pbs.twimg.com/profile_images/442391428069879808/46XrmQAl.jpeg","View")</f>
        <v>View</v>
      </c>
    </row>
    <row r="730" spans="1:21" ht="30.6">
      <c r="A730" s="6">
        <v>43440.801516203705</v>
      </c>
      <c r="B730" s="7" t="str">
        <f>HYPERLINK("https://twitter.com/Nekanfruit","@Nekanfruit")</f>
        <v>@Nekanfruit</v>
      </c>
      <c r="C730" s="8" t="s">
        <v>2744</v>
      </c>
      <c r="D730" s="9" t="s">
        <v>2745</v>
      </c>
      <c r="E730" s="10" t="str">
        <f>HYPERLINK("https://twitter.com/Nekanfruit/status/1070743217396695041","1070743217396695041")</f>
        <v>1070743217396695041</v>
      </c>
      <c r="F730" s="11"/>
      <c r="G730" s="11"/>
      <c r="H730" s="11"/>
      <c r="I730" s="12">
        <v>1</v>
      </c>
      <c r="J730" s="12">
        <v>0</v>
      </c>
      <c r="K730" s="13" t="str">
        <f>HYPERLINK("http://twitter.com/download/android","Twitter for Android")</f>
        <v>Twitter for Android</v>
      </c>
      <c r="L730" s="12">
        <v>520</v>
      </c>
      <c r="M730" s="12">
        <v>353</v>
      </c>
      <c r="N730" s="12">
        <v>9</v>
      </c>
      <c r="O730" s="14"/>
      <c r="P730" s="6">
        <v>41076.742256944446</v>
      </c>
      <c r="Q730" s="15" t="s">
        <v>2746</v>
      </c>
      <c r="R730" s="17" t="s">
        <v>2747</v>
      </c>
      <c r="S730" s="11"/>
      <c r="T730" s="11"/>
      <c r="U730" s="10" t="str">
        <f>HYPERLINK("https://pbs.twimg.com/profile_images/911989517191655425/30Oeyx-V.jpg","View")</f>
        <v>View</v>
      </c>
    </row>
    <row r="731" spans="1:21" ht="30.6">
      <c r="A731" s="6">
        <v>43440.79550925926</v>
      </c>
      <c r="B731" s="7" t="str">
        <f>HYPERLINK("https://twitter.com/DBenllo","@DBenllo")</f>
        <v>@DBenllo</v>
      </c>
      <c r="C731" s="8" t="s">
        <v>2748</v>
      </c>
      <c r="D731" s="9" t="s">
        <v>2749</v>
      </c>
      <c r="E731" s="10" t="str">
        <f>HYPERLINK("https://twitter.com/DBenllo/status/1070741040766828544","1070741040766828544")</f>
        <v>1070741040766828544</v>
      </c>
      <c r="F731" s="16" t="s">
        <v>2088</v>
      </c>
      <c r="G731" s="11"/>
      <c r="H731" s="11"/>
      <c r="I731" s="12">
        <v>0</v>
      </c>
      <c r="J731" s="12">
        <v>0</v>
      </c>
      <c r="K731" s="13" t="str">
        <f>HYPERLINK("http://twitter.com/download/iphone","Twitter for iPhone")</f>
        <v>Twitter for iPhone</v>
      </c>
      <c r="L731" s="12">
        <v>55</v>
      </c>
      <c r="M731" s="12">
        <v>240</v>
      </c>
      <c r="N731" s="12">
        <v>2</v>
      </c>
      <c r="O731" s="14"/>
      <c r="P731" s="6">
        <v>41578.720000000001</v>
      </c>
      <c r="Q731" s="11"/>
      <c r="R731" s="17" t="s">
        <v>2750</v>
      </c>
      <c r="S731" s="11"/>
      <c r="T731" s="11"/>
      <c r="U731" s="10" t="str">
        <f>HYPERLINK("https://pbs.twimg.com/profile_images/717094470244831232/NEdgJB7u.jpg","View")</f>
        <v>View</v>
      </c>
    </row>
    <row r="732" spans="1:21" ht="30.6">
      <c r="A732" s="6">
        <v>43440.791087962964</v>
      </c>
      <c r="B732" s="7" t="str">
        <f>HYPERLINK("https://twitter.com/negativo_stats","@negativo_stats")</f>
        <v>@negativo_stats</v>
      </c>
      <c r="C732" s="8" t="s">
        <v>182</v>
      </c>
      <c r="D732" s="9" t="s">
        <v>2751</v>
      </c>
      <c r="E732" s="10" t="str">
        <f>HYPERLINK("https://twitter.com/negativo_stats/status/1070739437921935360","1070739437921935360")</f>
        <v>1070739437921935360</v>
      </c>
      <c r="F732" s="11"/>
      <c r="G732" s="16" t="s">
        <v>2752</v>
      </c>
      <c r="H732" s="11"/>
      <c r="I732" s="12">
        <v>0</v>
      </c>
      <c r="J732" s="12">
        <v>0</v>
      </c>
      <c r="K732" s="13" t="str">
        <f>HYPERLINK("http://kosmonautica.es","Política Negativa")</f>
        <v>Política Negativa</v>
      </c>
      <c r="L732" s="12">
        <v>268</v>
      </c>
      <c r="M732" s="12">
        <v>788</v>
      </c>
      <c r="N732" s="12">
        <v>2</v>
      </c>
      <c r="O732" s="14"/>
      <c r="P732" s="6">
        <v>42171.770601851851</v>
      </c>
      <c r="Q732" s="15" t="s">
        <v>185</v>
      </c>
      <c r="R732" s="17" t="s">
        <v>186</v>
      </c>
      <c r="S732" s="11"/>
      <c r="T732" s="11"/>
      <c r="U732" s="10" t="str">
        <f>HYPERLINK("https://pbs.twimg.com/profile_images/628553625984438272/e-VHyhP1.png","View")</f>
        <v>View</v>
      </c>
    </row>
    <row r="733" spans="1:21" ht="81.599999999999994">
      <c r="A733" s="6">
        <v>43440.790451388893</v>
      </c>
      <c r="B733" s="7" t="str">
        <f>HYPERLINK("https://twitter.com/pppbernat","@pppbernat")</f>
        <v>@pppbernat</v>
      </c>
      <c r="C733" s="8" t="s">
        <v>2753</v>
      </c>
      <c r="D733" s="9" t="s">
        <v>2754</v>
      </c>
      <c r="E733" s="10" t="str">
        <f>HYPERLINK("https://twitter.com/pppbernat/status/1070739209621774343","1070739209621774343")</f>
        <v>1070739209621774343</v>
      </c>
      <c r="F733" s="16" t="s">
        <v>2670</v>
      </c>
      <c r="G733" s="16" t="s">
        <v>2671</v>
      </c>
      <c r="H733" s="11"/>
      <c r="I733" s="12">
        <v>0</v>
      </c>
      <c r="J733" s="12">
        <v>0</v>
      </c>
      <c r="K733" s="13" t="str">
        <f>HYPERLINK("https://mobile.twitter.com","Twitter Lite")</f>
        <v>Twitter Lite</v>
      </c>
      <c r="L733" s="12">
        <v>67</v>
      </c>
      <c r="M733" s="12">
        <v>261</v>
      </c>
      <c r="N733" s="12">
        <v>1</v>
      </c>
      <c r="O733" s="14"/>
      <c r="P733" s="6">
        <v>40685.60297453704</v>
      </c>
      <c r="Q733" s="15" t="s">
        <v>612</v>
      </c>
      <c r="R733" s="17" t="s">
        <v>2755</v>
      </c>
      <c r="S733" s="11"/>
      <c r="T733" s="11"/>
      <c r="U733" s="10" t="str">
        <f>HYPERLINK("https://pbs.twimg.com/profile_images/905912089612570624/CKG2n2L8.jpg","View")</f>
        <v>View</v>
      </c>
    </row>
    <row r="734" spans="1:21" ht="20.399999999999999">
      <c r="A734" s="6">
        <v>43440.787731481483</v>
      </c>
      <c r="B734" s="7" t="str">
        <f>HYPERLINK("https://twitter.com/elvengadorciego","@elvengadorciego")</f>
        <v>@elvengadorciego</v>
      </c>
      <c r="C734" s="8" t="s">
        <v>2756</v>
      </c>
      <c r="D734" s="9" t="s">
        <v>2757</v>
      </c>
      <c r="E734" s="10" t="str">
        <f>HYPERLINK("https://twitter.com/elvengadorciego/status/1070738224878891009","1070738224878891009")</f>
        <v>1070738224878891009</v>
      </c>
      <c r="F734" s="16" t="s">
        <v>2580</v>
      </c>
      <c r="G734" s="11"/>
      <c r="H734" s="11"/>
      <c r="I734" s="12">
        <v>0</v>
      </c>
      <c r="J734" s="12">
        <v>0</v>
      </c>
      <c r="K734" s="13" t="str">
        <f>HYPERLINK("http://twitter.com/download/android","Twitter for Android")</f>
        <v>Twitter for Android</v>
      </c>
      <c r="L734" s="12">
        <v>267</v>
      </c>
      <c r="M734" s="12">
        <v>2471</v>
      </c>
      <c r="N734" s="12">
        <v>2</v>
      </c>
      <c r="O734" s="14"/>
      <c r="P734" s="6">
        <v>41439.739837962959</v>
      </c>
      <c r="Q734" s="11"/>
      <c r="R734" s="17" t="s">
        <v>2758</v>
      </c>
      <c r="S734" s="11"/>
      <c r="T734" s="11"/>
      <c r="U734" s="10" t="str">
        <f>HYPERLINK("https://pbs.twimg.com/profile_images/344513261583473809/c5282b4f77f601dcc7f4442f80cb8f63.png","View")</f>
        <v>View</v>
      </c>
    </row>
    <row r="735" spans="1:21" ht="51">
      <c r="A735" s="6">
        <v>43440.787326388891</v>
      </c>
      <c r="B735" s="7" t="str">
        <f>HYPERLINK("https://twitter.com/cocosanber","@cocosanber")</f>
        <v>@cocosanber</v>
      </c>
      <c r="C735" s="8" t="s">
        <v>2759</v>
      </c>
      <c r="D735" s="9" t="s">
        <v>2760</v>
      </c>
      <c r="E735" s="10" t="str">
        <f>HYPERLINK("https://twitter.com/cocosanber/status/1070738076119511041","1070738076119511041")</f>
        <v>1070738076119511041</v>
      </c>
      <c r="F735" s="16" t="s">
        <v>2761</v>
      </c>
      <c r="G735" s="11"/>
      <c r="H735" s="11"/>
      <c r="I735" s="12">
        <v>0</v>
      </c>
      <c r="J735" s="12">
        <v>1</v>
      </c>
      <c r="K735" s="13" t="str">
        <f>HYPERLINK("http://twitter.com/#!/download/ipad","Twitter for iPad")</f>
        <v>Twitter for iPad</v>
      </c>
      <c r="L735" s="12">
        <v>1837</v>
      </c>
      <c r="M735" s="12">
        <v>3225</v>
      </c>
      <c r="N735" s="12">
        <v>28</v>
      </c>
      <c r="O735" s="14"/>
      <c r="P735" s="6">
        <v>41176.898738425924</v>
      </c>
      <c r="Q735" s="15" t="s">
        <v>2762</v>
      </c>
      <c r="R735" s="17" t="s">
        <v>2763</v>
      </c>
      <c r="S735" s="11"/>
      <c r="T735" s="11"/>
      <c r="U735" s="10" t="str">
        <f>HYPERLINK("https://pbs.twimg.com/profile_images/679033453367701504/byAksbLR.jpg","View")</f>
        <v>View</v>
      </c>
    </row>
    <row r="736" spans="1:21" ht="61.2">
      <c r="A736" s="6">
        <v>43440.78297453704</v>
      </c>
      <c r="B736" s="7" t="str">
        <f>HYPERLINK("https://twitter.com/ExIndepe_90","@ExIndepe_90")</f>
        <v>@ExIndepe_90</v>
      </c>
      <c r="C736" s="8" t="s">
        <v>2764</v>
      </c>
      <c r="D736" s="9" t="s">
        <v>2765</v>
      </c>
      <c r="E736" s="10" t="str">
        <f>HYPERLINK("https://twitter.com/ExIndepe_90/status/1070736498507550725","1070736498507550725")</f>
        <v>1070736498507550725</v>
      </c>
      <c r="F736" s="16" t="s">
        <v>2766</v>
      </c>
      <c r="G736" s="16" t="s">
        <v>2767</v>
      </c>
      <c r="H736" s="11"/>
      <c r="I736" s="12">
        <v>9</v>
      </c>
      <c r="J736" s="12">
        <v>22</v>
      </c>
      <c r="K736" s="13" t="str">
        <f>HYPERLINK("https://mobile.twitter.com","Twitter Lite")</f>
        <v>Twitter Lite</v>
      </c>
      <c r="L736" s="12">
        <v>4539</v>
      </c>
      <c r="M736" s="12">
        <v>713</v>
      </c>
      <c r="N736" s="12">
        <v>47</v>
      </c>
      <c r="O736" s="14"/>
      <c r="P736" s="6">
        <v>41464.976226851853</v>
      </c>
      <c r="Q736" s="15" t="s">
        <v>2768</v>
      </c>
      <c r="R736" s="17" t="s">
        <v>2769</v>
      </c>
      <c r="S736" s="11"/>
      <c r="T736" s="11"/>
      <c r="U736" s="10" t="str">
        <f>HYPERLINK("https://pbs.twimg.com/profile_images/1070094630086172672/xCIJZX97.jpg","View")</f>
        <v>View</v>
      </c>
    </row>
    <row r="737" spans="1:21" ht="40.799999999999997">
      <c r="A737" s="6">
        <v>43440.782638888893</v>
      </c>
      <c r="B737" s="7" t="str">
        <f>HYPERLINK("https://twitter.com/alebravodom","@alebravodom")</f>
        <v>@alebravodom</v>
      </c>
      <c r="C737" s="8" t="s">
        <v>2770</v>
      </c>
      <c r="D737" s="9" t="s">
        <v>2771</v>
      </c>
      <c r="E737" s="10" t="str">
        <f>HYPERLINK("https://twitter.com/alebravodom/status/1070736376025489408","1070736376025489408")</f>
        <v>1070736376025489408</v>
      </c>
      <c r="F737" s="15" t="s">
        <v>2772</v>
      </c>
      <c r="G737" s="11"/>
      <c r="H737" s="11"/>
      <c r="I737" s="12">
        <v>0</v>
      </c>
      <c r="J737" s="12">
        <v>0</v>
      </c>
      <c r="K737" s="13" t="str">
        <f>HYPERLINK("http://twitter.com/download/android","Twitter for Android")</f>
        <v>Twitter for Android</v>
      </c>
      <c r="L737" s="12">
        <v>592</v>
      </c>
      <c r="M737" s="12">
        <v>193</v>
      </c>
      <c r="N737" s="12">
        <v>9</v>
      </c>
      <c r="O737" s="14"/>
      <c r="P737" s="6">
        <v>40866.907893518517</v>
      </c>
      <c r="Q737" s="15" t="s">
        <v>2773</v>
      </c>
      <c r="R737" s="17" t="s">
        <v>2774</v>
      </c>
      <c r="S737" s="11"/>
      <c r="T737" s="11"/>
      <c r="U737" s="10" t="str">
        <f>HYPERLINK("https://pbs.twimg.com/profile_images/1068914094512705536/aEEP4MNu.jpg","View")</f>
        <v>View</v>
      </c>
    </row>
    <row r="738" spans="1:21" ht="81.599999999999994">
      <c r="A738" s="6">
        <v>43440.776886574073</v>
      </c>
      <c r="B738" s="7" t="str">
        <f>HYPERLINK("https://twitter.com/ivanedlm","@ivanedlm")</f>
        <v>@ivanedlm</v>
      </c>
      <c r="C738" s="8" t="s">
        <v>22</v>
      </c>
      <c r="D738" s="9" t="s">
        <v>2775</v>
      </c>
      <c r="E738" s="10" t="str">
        <f>HYPERLINK("https://twitter.com/ivanedlm/status/1070734292525948929","1070734292525948929")</f>
        <v>1070734292525948929</v>
      </c>
      <c r="F738" s="15" t="s">
        <v>2776</v>
      </c>
      <c r="G738" s="11"/>
      <c r="H738" s="11"/>
      <c r="I738" s="12">
        <v>284</v>
      </c>
      <c r="J738" s="12">
        <v>591</v>
      </c>
      <c r="K738" s="13" t="str">
        <f t="shared" ref="K738:K739" si="178">HYPERLINK("http://twitter.com","Twitter Web Client")</f>
        <v>Twitter Web Client</v>
      </c>
      <c r="L738" s="12">
        <v>24428</v>
      </c>
      <c r="M738" s="12">
        <v>2375</v>
      </c>
      <c r="N738" s="12">
        <v>215</v>
      </c>
      <c r="O738" s="14"/>
      <c r="P738" s="6">
        <v>39984.518807870372</v>
      </c>
      <c r="Q738" s="15" t="s">
        <v>197</v>
      </c>
      <c r="R738" s="17" t="s">
        <v>369</v>
      </c>
      <c r="S738" s="11"/>
      <c r="T738" s="11"/>
      <c r="U738" s="10" t="str">
        <f>HYPERLINK("https://pbs.twimg.com/profile_images/909885302491230208/UESaRSj_.jpg","View")</f>
        <v>View</v>
      </c>
    </row>
    <row r="739" spans="1:21" ht="40.799999999999997">
      <c r="A739" s="6">
        <v>43440.776458333334</v>
      </c>
      <c r="B739" s="7" t="str">
        <f>HYPERLINK("https://twitter.com/Verabadthings","@Verabadthings")</f>
        <v>@Verabadthings</v>
      </c>
      <c r="C739" s="8" t="s">
        <v>2777</v>
      </c>
      <c r="D739" s="9" t="s">
        <v>2778</v>
      </c>
      <c r="E739" s="10" t="str">
        <f>HYPERLINK("https://twitter.com/Verabadthings/status/1070734137680650240","1070734137680650240")</f>
        <v>1070734137680650240</v>
      </c>
      <c r="F739" s="11"/>
      <c r="G739" s="16" t="s">
        <v>2779</v>
      </c>
      <c r="H739" s="11"/>
      <c r="I739" s="12">
        <v>4</v>
      </c>
      <c r="J739" s="12">
        <v>4</v>
      </c>
      <c r="K739" s="13" t="str">
        <f t="shared" si="178"/>
        <v>Twitter Web Client</v>
      </c>
      <c r="L739" s="12">
        <v>2341</v>
      </c>
      <c r="M739" s="12">
        <v>1121</v>
      </c>
      <c r="N739" s="12">
        <v>36</v>
      </c>
      <c r="O739" s="14"/>
      <c r="P739" s="6">
        <v>40634.926863425928</v>
      </c>
      <c r="Q739" s="15" t="s">
        <v>2780</v>
      </c>
      <c r="R739" s="17" t="s">
        <v>2781</v>
      </c>
      <c r="S739" s="11"/>
      <c r="T739" s="11"/>
      <c r="U739" s="10" t="str">
        <f>HYPERLINK("https://pbs.twimg.com/profile_images/1296419818/Invierno_2009_053.JPG","View")</f>
        <v>View</v>
      </c>
    </row>
    <row r="740" spans="1:21" ht="51">
      <c r="A740" s="6">
        <v>43440.776423611111</v>
      </c>
      <c r="B740" s="7" t="str">
        <f>HYPERLINK("https://twitter.com/pako_faus","@pako_faus")</f>
        <v>@pako_faus</v>
      </c>
      <c r="C740" s="8" t="s">
        <v>2782</v>
      </c>
      <c r="D740" s="9" t="s">
        <v>2783</v>
      </c>
      <c r="E740" s="10" t="str">
        <f>HYPERLINK("https://twitter.com/pako_faus/status/1070734126486048768","1070734126486048768")</f>
        <v>1070734126486048768</v>
      </c>
      <c r="F740" s="16" t="s">
        <v>1143</v>
      </c>
      <c r="G740" s="16" t="s">
        <v>1144</v>
      </c>
      <c r="H740" s="11"/>
      <c r="I740" s="12">
        <v>1</v>
      </c>
      <c r="J740" s="12">
        <v>1</v>
      </c>
      <c r="K740" s="13" t="str">
        <f>HYPERLINK("http://twitter.com/download/iphone","Twitter for iPhone")</f>
        <v>Twitter for iPhone</v>
      </c>
      <c r="L740" s="12">
        <v>244</v>
      </c>
      <c r="M740" s="12">
        <v>405</v>
      </c>
      <c r="N740" s="12">
        <v>3</v>
      </c>
      <c r="O740" s="14"/>
      <c r="P740" s="6">
        <v>42045.904918981483</v>
      </c>
      <c r="Q740" s="15" t="s">
        <v>2784</v>
      </c>
      <c r="R740" s="17" t="s">
        <v>2785</v>
      </c>
      <c r="S740" s="11"/>
      <c r="T740" s="11"/>
      <c r="U740" s="10" t="str">
        <f>HYPERLINK("https://pbs.twimg.com/profile_images/1047166067385257989/DiEDyW45.jpg","View")</f>
        <v>View</v>
      </c>
    </row>
    <row r="741" spans="1:21" ht="40.799999999999997">
      <c r="A741" s="6">
        <v>43440.775810185187</v>
      </c>
      <c r="B741" s="7" t="str">
        <f>HYPERLINK("https://twitter.com/j_a_serrano","@j_a_serrano")</f>
        <v>@j_a_serrano</v>
      </c>
      <c r="C741" s="8" t="s">
        <v>2786</v>
      </c>
      <c r="D741" s="9" t="s">
        <v>2787</v>
      </c>
      <c r="E741" s="10" t="str">
        <f>HYPERLINK("https://twitter.com/j_a_serrano/status/1070733901902045185","1070733901902045185")</f>
        <v>1070733901902045185</v>
      </c>
      <c r="F741" s="16" t="s">
        <v>2788</v>
      </c>
      <c r="G741" s="11"/>
      <c r="H741" s="11"/>
      <c r="I741" s="12">
        <v>0</v>
      </c>
      <c r="J741" s="12">
        <v>2</v>
      </c>
      <c r="K741" s="13" t="str">
        <f>HYPERLINK("http://twitter.com/download/android","Twitter for Android")</f>
        <v>Twitter for Android</v>
      </c>
      <c r="L741" s="12">
        <v>795</v>
      </c>
      <c r="M741" s="12">
        <v>467</v>
      </c>
      <c r="N741" s="12">
        <v>160</v>
      </c>
      <c r="O741" s="14"/>
      <c r="P741" s="6">
        <v>40157.779293981483</v>
      </c>
      <c r="Q741" s="15" t="s">
        <v>2789</v>
      </c>
      <c r="R741" s="17" t="s">
        <v>2790</v>
      </c>
      <c r="S741" s="16" t="s">
        <v>2791</v>
      </c>
      <c r="T741" s="11"/>
      <c r="U741" s="10" t="str">
        <f>HYPERLINK("https://pbs.twimg.com/profile_images/881228375939047424/Sg4a1AeE.jpg","View")</f>
        <v>View</v>
      </c>
    </row>
    <row r="742" spans="1:21" ht="40.799999999999997">
      <c r="A742" s="6">
        <v>43440.77416666667</v>
      </c>
      <c r="B742" s="7" t="str">
        <f>HYPERLINK("https://twitter.com/hebertjose_92","@hebertjose_92")</f>
        <v>@hebertjose_92</v>
      </c>
      <c r="C742" s="8" t="s">
        <v>2792</v>
      </c>
      <c r="D742" s="9" t="s">
        <v>777</v>
      </c>
      <c r="E742" s="10" t="str">
        <f>HYPERLINK("https://twitter.com/hebertjose_92/status/1070733306319302658","1070733306319302658")</f>
        <v>1070733306319302658</v>
      </c>
      <c r="F742" s="16" t="s">
        <v>778</v>
      </c>
      <c r="G742" s="11"/>
      <c r="H742" s="11"/>
      <c r="I742" s="12">
        <v>0</v>
      </c>
      <c r="J742" s="12">
        <v>0</v>
      </c>
      <c r="K742" s="13" t="str">
        <f>HYPERLINK("http://twitter.com","Twitter Web Client")</f>
        <v>Twitter Web Client</v>
      </c>
      <c r="L742" s="12">
        <v>746</v>
      </c>
      <c r="M742" s="12">
        <v>784</v>
      </c>
      <c r="N742" s="12">
        <v>3</v>
      </c>
      <c r="O742" s="14"/>
      <c r="P742" s="6">
        <v>43119.069409722222</v>
      </c>
      <c r="Q742" s="15" t="s">
        <v>841</v>
      </c>
      <c r="R742" s="17" t="s">
        <v>2793</v>
      </c>
      <c r="S742" s="11"/>
      <c r="T742" s="11"/>
      <c r="U742" s="10" t="str">
        <f>HYPERLINK("https://pbs.twimg.com/profile_images/954156044510552064/P-XLABu0.jpg","View")</f>
        <v>View</v>
      </c>
    </row>
    <row r="743" spans="1:21" ht="51">
      <c r="A743" s="6">
        <v>43440.77175925926</v>
      </c>
      <c r="B743" s="7" t="str">
        <f>HYPERLINK("https://twitter.com/Luz3400","@Luz3400")</f>
        <v>@Luz3400</v>
      </c>
      <c r="C743" s="8" t="s">
        <v>2794</v>
      </c>
      <c r="D743" s="9" t="s">
        <v>2795</v>
      </c>
      <c r="E743" s="10" t="str">
        <f>HYPERLINK("https://twitter.com/Luz3400/status/1070732435695042560","1070732435695042560")</f>
        <v>1070732435695042560</v>
      </c>
      <c r="F743" s="11"/>
      <c r="G743" s="16" t="s">
        <v>2796</v>
      </c>
      <c r="H743" s="11"/>
      <c r="I743" s="12">
        <v>3</v>
      </c>
      <c r="J743" s="12">
        <v>1</v>
      </c>
      <c r="K743" s="13" t="str">
        <f>HYPERLINK("http://twitter.com/download/android","Twitter for Android")</f>
        <v>Twitter for Android</v>
      </c>
      <c r="L743" s="12">
        <v>1723</v>
      </c>
      <c r="M743" s="12">
        <v>915</v>
      </c>
      <c r="N743" s="12">
        <v>36</v>
      </c>
      <c r="O743" s="14"/>
      <c r="P743" s="6">
        <v>40693.833287037036</v>
      </c>
      <c r="Q743" s="15" t="s">
        <v>185</v>
      </c>
      <c r="R743" s="17" t="s">
        <v>2797</v>
      </c>
      <c r="S743" s="16" t="s">
        <v>2798</v>
      </c>
      <c r="T743" s="11"/>
      <c r="U743" s="10" t="str">
        <f>HYPERLINK("https://pbs.twimg.com/profile_images/959082066729107456/5LSLtKwK.jpg","View")</f>
        <v>View</v>
      </c>
    </row>
    <row r="744" spans="1:21" ht="51">
      <c r="A744" s="6">
        <v>43440.770046296297</v>
      </c>
      <c r="B744" s="7" t="str">
        <f>HYPERLINK("https://twitter.com/daniel_portero","@daniel_portero")</f>
        <v>@daniel_portero</v>
      </c>
      <c r="C744" s="8" t="s">
        <v>2799</v>
      </c>
      <c r="D744" s="9" t="s">
        <v>2800</v>
      </c>
      <c r="E744" s="10" t="str">
        <f>HYPERLINK("https://twitter.com/daniel_portero/status/1070731813159612417","1070731813159612417")</f>
        <v>1070731813159612417</v>
      </c>
      <c r="F744" s="11"/>
      <c r="G744" s="16" t="s">
        <v>2187</v>
      </c>
      <c r="H744" s="11"/>
      <c r="I744" s="12">
        <v>244</v>
      </c>
      <c r="J744" s="12">
        <v>336</v>
      </c>
      <c r="K744" s="13" t="str">
        <f>HYPERLINK("http://twitter.com/download/iphone","Twitter for iPhone")</f>
        <v>Twitter for iPhone</v>
      </c>
      <c r="L744" s="12">
        <v>5731</v>
      </c>
      <c r="M744" s="12">
        <v>3373</v>
      </c>
      <c r="N744" s="12">
        <v>54</v>
      </c>
      <c r="O744" s="14"/>
      <c r="P744" s="6">
        <v>41615.439062500001</v>
      </c>
      <c r="Q744" s="15" t="s">
        <v>197</v>
      </c>
      <c r="R744" s="17" t="s">
        <v>2801</v>
      </c>
      <c r="S744" s="11"/>
      <c r="T744" s="11"/>
      <c r="U744" s="10" t="str">
        <f>HYPERLINK("https://pbs.twimg.com/profile_images/1039242796669054977/tn7yZf3o.jpg","View")</f>
        <v>View</v>
      </c>
    </row>
    <row r="745" spans="1:21" ht="51">
      <c r="A745" s="6">
        <v>43440.769976851851</v>
      </c>
      <c r="B745" s="7" t="str">
        <f>HYPERLINK("https://twitter.com/SabatoFan","@SabatoFan")</f>
        <v>@SabatoFan</v>
      </c>
      <c r="C745" s="8" t="s">
        <v>2802</v>
      </c>
      <c r="D745" s="9" t="s">
        <v>2803</v>
      </c>
      <c r="E745" s="10" t="str">
        <f>HYPERLINK("https://twitter.com/SabatoFan/status/1070731787658244096","1070731787658244096")</f>
        <v>1070731787658244096</v>
      </c>
      <c r="F745" s="11"/>
      <c r="G745" s="11"/>
      <c r="H745" s="11"/>
      <c r="I745" s="12">
        <v>3</v>
      </c>
      <c r="J745" s="12">
        <v>5</v>
      </c>
      <c r="K745" s="13" t="str">
        <f>HYPERLINK("https://mobile.twitter.com","Twitter Lite")</f>
        <v>Twitter Lite</v>
      </c>
      <c r="L745" s="12">
        <v>368</v>
      </c>
      <c r="M745" s="12">
        <v>906</v>
      </c>
      <c r="N745" s="12">
        <v>3</v>
      </c>
      <c r="O745" s="14"/>
      <c r="P745" s="6">
        <v>41226.00545138889</v>
      </c>
      <c r="Q745" s="11"/>
      <c r="R745" s="17" t="s">
        <v>2804</v>
      </c>
      <c r="S745" s="11"/>
      <c r="T745" s="11"/>
      <c r="U745" s="10" t="str">
        <f>HYPERLINK("https://pbs.twimg.com/profile_images/1070272797417631744/ed1xZiz0.jpg","View")</f>
        <v>View</v>
      </c>
    </row>
    <row r="746" spans="1:21" ht="40.799999999999997">
      <c r="A746" s="6">
        <v>43440.767696759256</v>
      </c>
      <c r="B746" s="7" t="str">
        <f>HYPERLINK("https://twitter.com/luisbeltri","@luisbeltri")</f>
        <v>@luisbeltri</v>
      </c>
      <c r="C746" s="8" t="s">
        <v>2805</v>
      </c>
      <c r="D746" s="9" t="s">
        <v>2806</v>
      </c>
      <c r="E746" s="10" t="str">
        <f>HYPERLINK("https://twitter.com/luisbeltri/status/1070730965041991680","1070730965041991680")</f>
        <v>1070730965041991680</v>
      </c>
      <c r="F746" s="11"/>
      <c r="G746" s="16" t="s">
        <v>2807</v>
      </c>
      <c r="H746" s="11"/>
      <c r="I746" s="12">
        <v>8</v>
      </c>
      <c r="J746" s="12">
        <v>10</v>
      </c>
      <c r="K746" s="13" t="str">
        <f>HYPERLINK("http://twitter.com/download/android","Twitter for Android")</f>
        <v>Twitter for Android</v>
      </c>
      <c r="L746" s="12">
        <v>28082</v>
      </c>
      <c r="M746" s="12">
        <v>17874</v>
      </c>
      <c r="N746" s="12">
        <v>194</v>
      </c>
      <c r="O746" s="14"/>
      <c r="P746" s="6">
        <v>40018.954016203701</v>
      </c>
      <c r="Q746" s="15" t="s">
        <v>2632</v>
      </c>
      <c r="R746" s="17" t="s">
        <v>2808</v>
      </c>
      <c r="S746" s="11"/>
      <c r="T746" s="11"/>
      <c r="U746" s="10" t="str">
        <f>HYPERLINK("https://pbs.twimg.com/profile_images/1028220595404787712/uTQd5ZiU.jpg","View")</f>
        <v>View</v>
      </c>
    </row>
    <row r="747" spans="1:21" ht="30.6">
      <c r="A747" s="6">
        <v>43440.766469907408</v>
      </c>
      <c r="B747" s="7" t="str">
        <f>HYPERLINK("https://twitter.com/gonzalo22l","@gonzalo22l")</f>
        <v>@gonzalo22l</v>
      </c>
      <c r="C747" s="8" t="s">
        <v>2809</v>
      </c>
      <c r="D747" s="9" t="s">
        <v>2810</v>
      </c>
      <c r="E747" s="10" t="str">
        <f>HYPERLINK("https://twitter.com/gonzalo22l/status/1070730519678205952","1070730519678205952")</f>
        <v>1070730519678205952</v>
      </c>
      <c r="F747" s="11"/>
      <c r="G747" s="11"/>
      <c r="H747" s="11"/>
      <c r="I747" s="12">
        <v>0</v>
      </c>
      <c r="J747" s="12">
        <v>0</v>
      </c>
      <c r="K747" s="13" t="str">
        <f>HYPERLINK("http://twitter.com/download/iphone","Twitter for iPhone")</f>
        <v>Twitter for iPhone</v>
      </c>
      <c r="L747" s="12">
        <v>119</v>
      </c>
      <c r="M747" s="12">
        <v>684</v>
      </c>
      <c r="N747" s="12">
        <v>1</v>
      </c>
      <c r="O747" s="14"/>
      <c r="P747" s="6">
        <v>42446.015740740739</v>
      </c>
      <c r="Q747" s="15" t="s">
        <v>2811</v>
      </c>
      <c r="R747" s="17" t="s">
        <v>2812</v>
      </c>
      <c r="S747" s="11"/>
      <c r="T747" s="11"/>
      <c r="U747" s="10" t="str">
        <f>HYPERLINK("https://pbs.twimg.com/profile_images/710247021463134209/oaUbgfO_.jpg","View")</f>
        <v>View</v>
      </c>
    </row>
    <row r="748" spans="1:21" ht="61.2">
      <c r="A748" s="6">
        <v>43440.75917824074</v>
      </c>
      <c r="B748" s="7" t="str">
        <f>HYPERLINK("https://twitter.com/cruzverde_","@cruzverde_")</f>
        <v>@cruzverde_</v>
      </c>
      <c r="C748" s="8" t="s">
        <v>1296</v>
      </c>
      <c r="D748" s="9" t="s">
        <v>2813</v>
      </c>
      <c r="E748" s="10" t="str">
        <f>HYPERLINK("https://twitter.com/cruzverde_/status/1070727876515954688","1070727876515954688")</f>
        <v>1070727876515954688</v>
      </c>
      <c r="F748" s="15" t="s">
        <v>2814</v>
      </c>
      <c r="G748" s="11"/>
      <c r="H748" s="11"/>
      <c r="I748" s="12">
        <v>0</v>
      </c>
      <c r="J748" s="12">
        <v>0</v>
      </c>
      <c r="K748" s="13" t="str">
        <f>HYPERLINK("http://twitter.com","Twitter Web Client")</f>
        <v>Twitter Web Client</v>
      </c>
      <c r="L748" s="12">
        <v>1499</v>
      </c>
      <c r="M748" s="12">
        <v>2672</v>
      </c>
      <c r="N748" s="12">
        <v>40</v>
      </c>
      <c r="O748" s="14"/>
      <c r="P748" s="6">
        <v>40163.003703703704</v>
      </c>
      <c r="Q748" s="11"/>
      <c r="R748" s="17" t="s">
        <v>1300</v>
      </c>
      <c r="S748" s="16" t="s">
        <v>1301</v>
      </c>
      <c r="T748" s="11"/>
      <c r="U748" s="10" t="str">
        <f>HYPERLINK("https://pbs.twimg.com/profile_images/1784494170/AvatarRRSS.jpg","View")</f>
        <v>View</v>
      </c>
    </row>
    <row r="749" spans="1:21" ht="81.599999999999994">
      <c r="A749" s="6">
        <v>43440.758854166663</v>
      </c>
      <c r="B749" s="7" t="str">
        <f>HYPERLINK("https://twitter.com/RobertoMrquezR1","@RobertoMrquezR1")</f>
        <v>@RobertoMrquezR1</v>
      </c>
      <c r="C749" s="8" t="s">
        <v>2815</v>
      </c>
      <c r="D749" s="9" t="s">
        <v>2816</v>
      </c>
      <c r="E749" s="10" t="str">
        <f>HYPERLINK("https://twitter.com/RobertoMrquezR1/status/1070727757536079872","1070727757536079872")</f>
        <v>1070727757536079872</v>
      </c>
      <c r="F749" s="16" t="s">
        <v>2647</v>
      </c>
      <c r="G749" s="16" t="s">
        <v>2648</v>
      </c>
      <c r="H749" s="11"/>
      <c r="I749" s="12">
        <v>0</v>
      </c>
      <c r="J749" s="12">
        <v>0</v>
      </c>
      <c r="K749" s="13" t="str">
        <f>HYPERLINK("http://twitter.com/download/android","Twitter for Android")</f>
        <v>Twitter for Android</v>
      </c>
      <c r="L749" s="12">
        <v>33</v>
      </c>
      <c r="M749" s="12">
        <v>143</v>
      </c>
      <c r="N749" s="12">
        <v>0</v>
      </c>
      <c r="O749" s="14"/>
      <c r="P749" s="6">
        <v>43346.60974537037</v>
      </c>
      <c r="Q749" s="15" t="s">
        <v>2817</v>
      </c>
      <c r="R749" s="18"/>
      <c r="S749" s="11"/>
      <c r="T749" s="11"/>
      <c r="U749" s="10" t="str">
        <f>HYPERLINK("https://pbs.twimg.com/profile_images/1051280007950143488/Qs8HUBH5.jpg","View")</f>
        <v>View</v>
      </c>
    </row>
    <row r="750" spans="1:21" ht="40.799999999999997">
      <c r="A750" s="6">
        <v>43440.754537037035</v>
      </c>
      <c r="B750" s="7" t="str">
        <f>HYPERLINK("https://twitter.com/juanjocamaraf","@juanjocamaraf")</f>
        <v>@juanjocamaraf</v>
      </c>
      <c r="C750" s="8" t="s">
        <v>2115</v>
      </c>
      <c r="D750" s="9" t="s">
        <v>2818</v>
      </c>
      <c r="E750" s="10" t="str">
        <f>HYPERLINK("https://twitter.com/juanjocamaraf/status/1070726194184814592","1070726194184814592")</f>
        <v>1070726194184814592</v>
      </c>
      <c r="F750" s="16" t="s">
        <v>2819</v>
      </c>
      <c r="G750" s="11"/>
      <c r="H750" s="11"/>
      <c r="I750" s="12">
        <v>0</v>
      </c>
      <c r="J750" s="12">
        <v>0</v>
      </c>
      <c r="K750" s="13" t="str">
        <f>HYPERLINK("http://twitter.com","Twitter Web Client")</f>
        <v>Twitter Web Client</v>
      </c>
      <c r="L750" s="12">
        <v>30</v>
      </c>
      <c r="M750" s="12">
        <v>104</v>
      </c>
      <c r="N750" s="12">
        <v>0</v>
      </c>
      <c r="O750" s="14"/>
      <c r="P750" s="6">
        <v>42112.382905092592</v>
      </c>
      <c r="Q750" s="11"/>
      <c r="R750" s="17" t="s">
        <v>2118</v>
      </c>
      <c r="S750" s="11"/>
      <c r="T750" s="11"/>
      <c r="U750" s="10" t="str">
        <f>HYPERLINK("https://pbs.twimg.com/profile_images/1071175686054928385/T4VZ-KOX.jpg","View")</f>
        <v>View</v>
      </c>
    </row>
    <row r="751" spans="1:21" ht="91.8">
      <c r="A751" s="6">
        <v>43440.750659722224</v>
      </c>
      <c r="B751" s="7" t="str">
        <f>HYPERLINK("https://twitter.com/AzoteCasta","@AzoteCasta")</f>
        <v>@AzoteCasta</v>
      </c>
      <c r="C751" s="8" t="s">
        <v>2820</v>
      </c>
      <c r="D751" s="9" t="s">
        <v>2821</v>
      </c>
      <c r="E751" s="10" t="str">
        <f>HYPERLINK("https://twitter.com/AzoteCasta/status/1070724789323685888","1070724789323685888")</f>
        <v>1070724789323685888</v>
      </c>
      <c r="F751" s="15" t="s">
        <v>2822</v>
      </c>
      <c r="G751" s="11"/>
      <c r="H751" s="11"/>
      <c r="I751" s="12">
        <v>1</v>
      </c>
      <c r="J751" s="12">
        <v>2</v>
      </c>
      <c r="K751" s="13" t="str">
        <f t="shared" ref="K751:K752" si="179">HYPERLINK("http://twitter.com/download/android","Twitter for Android")</f>
        <v>Twitter for Android</v>
      </c>
      <c r="L751" s="12">
        <v>3687</v>
      </c>
      <c r="M751" s="12">
        <v>2738</v>
      </c>
      <c r="N751" s="12">
        <v>64</v>
      </c>
      <c r="O751" s="14"/>
      <c r="P751" s="6">
        <v>41441.048819444448</v>
      </c>
      <c r="Q751" s="15" t="s">
        <v>197</v>
      </c>
      <c r="R751" s="17" t="s">
        <v>2823</v>
      </c>
      <c r="S751" s="11"/>
      <c r="T751" s="11"/>
      <c r="U751" s="10" t="str">
        <f>HYPERLINK("https://pbs.twimg.com/profile_images/1037474236691042309/9t-T1AZv.jpg","View")</f>
        <v>View</v>
      </c>
    </row>
    <row r="752" spans="1:21" ht="102">
      <c r="A752" s="6">
        <v>43440.74790509259</v>
      </c>
      <c r="B752" s="7" t="str">
        <f>HYPERLINK("https://twitter.com/Gata1_C","@Gata1_C")</f>
        <v>@Gata1_C</v>
      </c>
      <c r="C752" s="8" t="s">
        <v>251</v>
      </c>
      <c r="D752" s="9" t="s">
        <v>2824</v>
      </c>
      <c r="E752" s="10" t="str">
        <f>HYPERLINK("https://twitter.com/Gata1_C/status/1070723791653928966","1070723791653928966")</f>
        <v>1070723791653928966</v>
      </c>
      <c r="F752" s="16" t="s">
        <v>2106</v>
      </c>
      <c r="G752" s="16" t="s">
        <v>2107</v>
      </c>
      <c r="H752" s="11"/>
      <c r="I752" s="12">
        <v>8</v>
      </c>
      <c r="J752" s="12">
        <v>8</v>
      </c>
      <c r="K752" s="13" t="str">
        <f t="shared" si="179"/>
        <v>Twitter for Android</v>
      </c>
      <c r="L752" s="12">
        <v>3876</v>
      </c>
      <c r="M752" s="12">
        <v>5000</v>
      </c>
      <c r="N752" s="12">
        <v>8</v>
      </c>
      <c r="O752" s="14"/>
      <c r="P752" s="6">
        <v>41393.042939814812</v>
      </c>
      <c r="Q752" s="15" t="s">
        <v>197</v>
      </c>
      <c r="R752" s="17" t="s">
        <v>253</v>
      </c>
      <c r="S752" s="11"/>
      <c r="T752" s="11"/>
      <c r="U752" s="10" t="str">
        <f>HYPERLINK("https://pbs.twimg.com/profile_images/1064357848287715333/GYr5W4W2.jpg","View")</f>
        <v>View</v>
      </c>
    </row>
    <row r="753" spans="1:21" ht="40.799999999999997">
      <c r="A753" s="6">
        <v>43440.744942129633</v>
      </c>
      <c r="B753" s="7" t="str">
        <f>HYPERLINK("https://twitter.com/PrimodelRivera1","@PrimodelRivera1")</f>
        <v>@PrimodelRivera1</v>
      </c>
      <c r="C753" s="8" t="s">
        <v>2825</v>
      </c>
      <c r="D753" s="9" t="s">
        <v>2826</v>
      </c>
      <c r="E753" s="10" t="str">
        <f>HYPERLINK("https://twitter.com/PrimodelRivera1/status/1070722717769482241","1070722717769482241")</f>
        <v>1070722717769482241</v>
      </c>
      <c r="F753" s="11"/>
      <c r="G753" s="16" t="s">
        <v>2827</v>
      </c>
      <c r="H753" s="11"/>
      <c r="I753" s="12">
        <v>3</v>
      </c>
      <c r="J753" s="12">
        <v>2</v>
      </c>
      <c r="K753" s="13" t="str">
        <f>HYPERLINK("http://twitter.com","Twitter Web Client")</f>
        <v>Twitter Web Client</v>
      </c>
      <c r="L753" s="12">
        <v>269</v>
      </c>
      <c r="M753" s="12">
        <v>19</v>
      </c>
      <c r="N753" s="12">
        <v>0</v>
      </c>
      <c r="O753" s="14"/>
      <c r="P753" s="6">
        <v>42485.805497685185</v>
      </c>
      <c r="Q753" s="15" t="s">
        <v>197</v>
      </c>
      <c r="R753" s="17" t="s">
        <v>2828</v>
      </c>
      <c r="S753" s="16" t="s">
        <v>2829</v>
      </c>
      <c r="T753" s="11"/>
      <c r="U753" s="10" t="str">
        <f>HYPERLINK("https://pbs.twimg.com/profile_images/1003564554322939904/RPsC0PZ9.jpg","View")</f>
        <v>View</v>
      </c>
    </row>
    <row r="754" spans="1:21" ht="30.6">
      <c r="A754" s="6">
        <v>43440.744062500002</v>
      </c>
      <c r="B754" s="7" t="str">
        <f>HYPERLINK("https://twitter.com/pedroccastillo","@pedroccastillo")</f>
        <v>@pedroccastillo</v>
      </c>
      <c r="C754" s="8" t="s">
        <v>2830</v>
      </c>
      <c r="D754" s="9" t="s">
        <v>2831</v>
      </c>
      <c r="E754" s="10" t="str">
        <f>HYPERLINK("https://twitter.com/pedroccastillo/status/1070722400503910400","1070722400503910400")</f>
        <v>1070722400503910400</v>
      </c>
      <c r="F754" s="16" t="s">
        <v>2832</v>
      </c>
      <c r="G754" s="11"/>
      <c r="H754" s="11"/>
      <c r="I754" s="12">
        <v>0</v>
      </c>
      <c r="J754" s="12">
        <v>1</v>
      </c>
      <c r="K754" s="13" t="str">
        <f t="shared" ref="K754:K755" si="180">HYPERLINK("http://twitter.com/download/android","Twitter for Android")</f>
        <v>Twitter for Android</v>
      </c>
      <c r="L754" s="12">
        <v>16379</v>
      </c>
      <c r="M754" s="12">
        <v>15373</v>
      </c>
      <c r="N754" s="12">
        <v>88</v>
      </c>
      <c r="O754" s="14"/>
      <c r="P754" s="6">
        <v>40455.732847222222</v>
      </c>
      <c r="Q754" s="11"/>
      <c r="R754" s="18"/>
      <c r="S754" s="11"/>
      <c r="T754" s="11"/>
      <c r="U754" s="10" t="str">
        <f>HYPERLINK("https://pbs.twimg.com/profile_images/1040981005182619648/G4Pi5nsN.jpg","View")</f>
        <v>View</v>
      </c>
    </row>
    <row r="755" spans="1:21" ht="30.6">
      <c r="A755" s="6">
        <v>43440.737673611111</v>
      </c>
      <c r="B755" s="7" t="str">
        <f>HYPERLINK("https://twitter.com/UkioSensei","@UkioSensei")</f>
        <v>@UkioSensei</v>
      </c>
      <c r="C755" s="8" t="s">
        <v>2833</v>
      </c>
      <c r="D755" s="9" t="s">
        <v>2834</v>
      </c>
      <c r="E755" s="10" t="str">
        <f>HYPERLINK("https://twitter.com/UkioSensei/status/1070720083406848000","1070720083406848000")</f>
        <v>1070720083406848000</v>
      </c>
      <c r="F755" s="15" t="s">
        <v>2835</v>
      </c>
      <c r="G755" s="16" t="s">
        <v>2836</v>
      </c>
      <c r="H755" s="11"/>
      <c r="I755" s="12">
        <v>0</v>
      </c>
      <c r="J755" s="12">
        <v>0</v>
      </c>
      <c r="K755" s="13" t="str">
        <f t="shared" si="180"/>
        <v>Twitter for Android</v>
      </c>
      <c r="L755" s="12">
        <v>520</v>
      </c>
      <c r="M755" s="12">
        <v>531</v>
      </c>
      <c r="N755" s="12">
        <v>23</v>
      </c>
      <c r="O755" s="14"/>
      <c r="P755" s="6">
        <v>40624.117673611108</v>
      </c>
      <c r="Q755" s="11"/>
      <c r="R755" s="17" t="s">
        <v>2837</v>
      </c>
      <c r="S755" s="16" t="s">
        <v>2838</v>
      </c>
      <c r="T755" s="11"/>
      <c r="U755" s="10" t="str">
        <f>HYPERLINK("https://pbs.twimg.com/profile_images/1053198480087375872/Ixvf_1hs.jpg","View")</f>
        <v>View</v>
      </c>
    </row>
    <row r="756" spans="1:21" ht="51">
      <c r="A756" s="6">
        <v>43440.73637731481</v>
      </c>
      <c r="B756" s="7" t="str">
        <f>HYPERLINK("https://twitter.com/jmarcos78","@jmarcos78")</f>
        <v>@jmarcos78</v>
      </c>
      <c r="C756" s="8" t="s">
        <v>2839</v>
      </c>
      <c r="D756" s="9" t="s">
        <v>2840</v>
      </c>
      <c r="E756" s="10" t="str">
        <f>HYPERLINK("https://twitter.com/jmarcos78/status/1070719612172554242","1070719612172554242")</f>
        <v>1070719612172554242</v>
      </c>
      <c r="F756" s="16" t="s">
        <v>2841</v>
      </c>
      <c r="G756" s="11"/>
      <c r="H756" s="11"/>
      <c r="I756" s="12">
        <v>1904</v>
      </c>
      <c r="J756" s="12">
        <v>1280</v>
      </c>
      <c r="K756" s="13" t="str">
        <f>HYPERLINK("http://twitter.com","Twitter Web Client")</f>
        <v>Twitter Web Client</v>
      </c>
      <c r="L756" s="12">
        <v>4988</v>
      </c>
      <c r="M756" s="12">
        <v>1330</v>
      </c>
      <c r="N756" s="12">
        <v>241</v>
      </c>
      <c r="O756" s="14"/>
      <c r="P756" s="6">
        <v>40304.757696759261</v>
      </c>
      <c r="Q756" s="15" t="s">
        <v>612</v>
      </c>
      <c r="R756" s="17" t="s">
        <v>2842</v>
      </c>
      <c r="S756" s="16" t="s">
        <v>2843</v>
      </c>
      <c r="T756" s="11"/>
      <c r="U756" s="10" t="str">
        <f>HYPERLINK("https://pbs.twimg.com/profile_images/944712823724224512/_tsDftoS.jpg","View")</f>
        <v>View</v>
      </c>
    </row>
    <row r="757" spans="1:21" ht="20.399999999999999">
      <c r="A757" s="6">
        <v>43440.736018518517</v>
      </c>
      <c r="B757" s="7" t="str">
        <f>HYPERLINK("https://twitter.com/Unademadrid","@Unademadrid")</f>
        <v>@Unademadrid</v>
      </c>
      <c r="C757" s="8" t="s">
        <v>2844</v>
      </c>
      <c r="D757" s="9" t="s">
        <v>2036</v>
      </c>
      <c r="E757" s="10" t="str">
        <f>HYPERLINK("https://twitter.com/Unademadrid/status/1070719481519984640","1070719481519984640")</f>
        <v>1070719481519984640</v>
      </c>
      <c r="F757" s="16" t="s">
        <v>2037</v>
      </c>
      <c r="G757" s="11"/>
      <c r="H757" s="11"/>
      <c r="I757" s="12">
        <v>0</v>
      </c>
      <c r="J757" s="12">
        <v>0</v>
      </c>
      <c r="K757" s="13" t="str">
        <f>HYPERLINK("http://twitter.com/download/android","Twitter for Android")</f>
        <v>Twitter for Android</v>
      </c>
      <c r="L757" s="12">
        <v>2646</v>
      </c>
      <c r="M757" s="12">
        <v>1907</v>
      </c>
      <c r="N757" s="12">
        <v>58</v>
      </c>
      <c r="O757" s="14"/>
      <c r="P757" s="6">
        <v>40757.467905092592</v>
      </c>
      <c r="Q757" s="11"/>
      <c r="R757" s="17" t="s">
        <v>2845</v>
      </c>
      <c r="S757" s="11"/>
      <c r="T757" s="11"/>
      <c r="U757" s="10" t="str">
        <f>HYPERLINK("https://pbs.twimg.com/profile_images/1839076821/MANUEL_1.JPG","View")</f>
        <v>View</v>
      </c>
    </row>
    <row r="758" spans="1:21" ht="30.6">
      <c r="A758" s="6">
        <v>43440.733946759261</v>
      </c>
      <c r="B758" s="7" t="str">
        <f>HYPERLINK("https://twitter.com/VerdaderaDerec2","@VerdaderaDerec2")</f>
        <v>@VerdaderaDerec2</v>
      </c>
      <c r="C758" s="8" t="s">
        <v>2846</v>
      </c>
      <c r="D758" s="9" t="s">
        <v>2847</v>
      </c>
      <c r="E758" s="10" t="str">
        <f>HYPERLINK("https://twitter.com/VerdaderaDerec2/status/1070718730743746560","1070718730743746560")</f>
        <v>1070718730743746560</v>
      </c>
      <c r="F758" s="11"/>
      <c r="G758" s="11"/>
      <c r="H758" s="11"/>
      <c r="I758" s="12">
        <v>0</v>
      </c>
      <c r="J758" s="12">
        <v>0</v>
      </c>
      <c r="K758" s="13" t="str">
        <f t="shared" ref="K758:K759" si="181">HYPERLINK("http://twitter.com/download/iphone","Twitter for iPhone")</f>
        <v>Twitter for iPhone</v>
      </c>
      <c r="L758" s="12">
        <v>19</v>
      </c>
      <c r="M758" s="12">
        <v>263</v>
      </c>
      <c r="N758" s="12">
        <v>0</v>
      </c>
      <c r="O758" s="14"/>
      <c r="P758" s="6">
        <v>43283.675196759257</v>
      </c>
      <c r="Q758" s="15" t="s">
        <v>426</v>
      </c>
      <c r="R758" s="17" t="s">
        <v>2848</v>
      </c>
      <c r="S758" s="11"/>
      <c r="T758" s="11"/>
      <c r="U758" s="23" t="s">
        <v>437</v>
      </c>
    </row>
    <row r="759" spans="1:21" ht="81.599999999999994">
      <c r="A759" s="6">
        <v>43440.731724537036</v>
      </c>
      <c r="B759" s="7" t="str">
        <f>HYPERLINK("https://twitter.com/AlberRoC","@AlberRoC")</f>
        <v>@AlberRoC</v>
      </c>
      <c r="C759" s="8" t="s">
        <v>2849</v>
      </c>
      <c r="D759" s="9" t="s">
        <v>2850</v>
      </c>
      <c r="E759" s="10" t="str">
        <f>HYPERLINK("https://twitter.com/AlberRoC/status/1070717927152910336","1070717927152910336")</f>
        <v>1070717927152910336</v>
      </c>
      <c r="F759" s="16" t="s">
        <v>2670</v>
      </c>
      <c r="G759" s="16" t="s">
        <v>2671</v>
      </c>
      <c r="H759" s="11"/>
      <c r="I759" s="12">
        <v>0</v>
      </c>
      <c r="J759" s="12">
        <v>1</v>
      </c>
      <c r="K759" s="13" t="str">
        <f t="shared" si="181"/>
        <v>Twitter for iPhone</v>
      </c>
      <c r="L759" s="12">
        <v>2209</v>
      </c>
      <c r="M759" s="12">
        <v>2838</v>
      </c>
      <c r="N759" s="12">
        <v>32</v>
      </c>
      <c r="O759" s="14"/>
      <c r="P759" s="6">
        <v>40661.015798611115</v>
      </c>
      <c r="Q759" s="15" t="s">
        <v>2851</v>
      </c>
      <c r="R759" s="17" t="s">
        <v>2852</v>
      </c>
      <c r="S759" s="11"/>
      <c r="T759" s="11"/>
      <c r="U759" s="10" t="str">
        <f>HYPERLINK("https://pbs.twimg.com/profile_images/1051485436210794496/wxF7GSqc.jpg","View")</f>
        <v>View</v>
      </c>
    </row>
    <row r="760" spans="1:21" ht="112.2">
      <c r="A760" s="6">
        <v>43440.730173611111</v>
      </c>
      <c r="B760" s="7" t="str">
        <f>HYPERLINK("https://twitter.com/BancajaEstafa","@BancajaEstafa")</f>
        <v>@BancajaEstafa</v>
      </c>
      <c r="C760" s="8" t="s">
        <v>858</v>
      </c>
      <c r="D760" s="9" t="s">
        <v>2853</v>
      </c>
      <c r="E760" s="10" t="str">
        <f>HYPERLINK("https://twitter.com/BancajaEstafa/status/1070717364382171136","1070717364382171136")</f>
        <v>1070717364382171136</v>
      </c>
      <c r="F760" s="16" t="s">
        <v>2854</v>
      </c>
      <c r="G760" s="16" t="s">
        <v>2855</v>
      </c>
      <c r="H760" s="11"/>
      <c r="I760" s="12">
        <v>0</v>
      </c>
      <c r="J760" s="12">
        <v>1</v>
      </c>
      <c r="K760" s="13" t="str">
        <f>HYPERLINK("http://twitter.com","Twitter Web Client")</f>
        <v>Twitter Web Client</v>
      </c>
      <c r="L760" s="12">
        <v>1189</v>
      </c>
      <c r="M760" s="12">
        <v>4999</v>
      </c>
      <c r="N760" s="12">
        <v>28</v>
      </c>
      <c r="O760" s="14"/>
      <c r="P760" s="6">
        <v>42189.936469907407</v>
      </c>
      <c r="Q760" s="15" t="s">
        <v>861</v>
      </c>
      <c r="R760" s="17" t="s">
        <v>862</v>
      </c>
      <c r="S760" s="11"/>
      <c r="T760" s="11"/>
      <c r="U760" s="10" t="str">
        <f>HYPERLINK("https://pbs.twimg.com/profile_images/623951932156215296/vJAxlHSS.jpg","View")</f>
        <v>View</v>
      </c>
    </row>
    <row r="761" spans="1:21" ht="30.6">
      <c r="A761" s="6">
        <v>43440.726168981477</v>
      </c>
      <c r="B761" s="7" t="str">
        <f>HYPERLINK("https://twitter.com/vanesavallejo3","@vanesavallejo3")</f>
        <v>@vanesavallejo3</v>
      </c>
      <c r="C761" s="8" t="s">
        <v>2856</v>
      </c>
      <c r="D761" s="9" t="s">
        <v>2857</v>
      </c>
      <c r="E761" s="10" t="str">
        <f>HYPERLINK("https://twitter.com/vanesavallejo3/status/1070715914381799424","1070715914381799424")</f>
        <v>1070715914381799424</v>
      </c>
      <c r="F761" s="11"/>
      <c r="G761" s="16" t="s">
        <v>2858</v>
      </c>
      <c r="H761" s="11"/>
      <c r="I761" s="12">
        <v>45</v>
      </c>
      <c r="J761" s="12">
        <v>73</v>
      </c>
      <c r="K761" s="13" t="str">
        <f>HYPERLINK("http://twitter.com/download/iphone","Twitter for iPhone")</f>
        <v>Twitter for iPhone</v>
      </c>
      <c r="L761" s="12">
        <v>29691</v>
      </c>
      <c r="M761" s="12">
        <v>2756</v>
      </c>
      <c r="N761" s="12">
        <v>196</v>
      </c>
      <c r="O761" s="14"/>
      <c r="P761" s="6">
        <v>40882.992847222224</v>
      </c>
      <c r="Q761" s="15" t="s">
        <v>2859</v>
      </c>
      <c r="R761" s="17" t="s">
        <v>2860</v>
      </c>
      <c r="S761" s="11"/>
      <c r="T761" s="11"/>
      <c r="U761" s="10" t="str">
        <f>HYPERLINK("https://pbs.twimg.com/profile_images/780574038200578049/U5xOowca.jpg","View")</f>
        <v>View</v>
      </c>
    </row>
    <row r="762" spans="1:21" ht="81.599999999999994">
      <c r="A762" s="6">
        <v>43440.725995370369</v>
      </c>
      <c r="B762" s="7" t="str">
        <f>HYPERLINK("https://twitter.com/Antiintermedio","@Antiintermedio")</f>
        <v>@Antiintermedio</v>
      </c>
      <c r="C762" s="8" t="s">
        <v>1732</v>
      </c>
      <c r="D762" s="9" t="s">
        <v>2861</v>
      </c>
      <c r="E762" s="10" t="str">
        <f>HYPERLINK("https://twitter.com/Antiintermedio/status/1070715852771737600","1070715852771737600")</f>
        <v>1070715852771737600</v>
      </c>
      <c r="F762" s="15" t="s">
        <v>2862</v>
      </c>
      <c r="G762" s="11"/>
      <c r="H762" s="11"/>
      <c r="I762" s="12">
        <v>78</v>
      </c>
      <c r="J762" s="12">
        <v>172</v>
      </c>
      <c r="K762" s="13" t="str">
        <f>HYPERLINK("https://mobile.twitter.com","Twitter Lite")</f>
        <v>Twitter Lite</v>
      </c>
      <c r="L762" s="12">
        <v>18586</v>
      </c>
      <c r="M762" s="12">
        <v>453</v>
      </c>
      <c r="N762" s="12">
        <v>196</v>
      </c>
      <c r="O762" s="14"/>
      <c r="P762" s="6">
        <v>41686.038981481484</v>
      </c>
      <c r="Q762" s="11"/>
      <c r="R762" s="17" t="s">
        <v>1734</v>
      </c>
      <c r="S762" s="11"/>
      <c r="T762" s="11"/>
      <c r="U762" s="10" t="str">
        <f>HYPERLINK("https://pbs.twimg.com/profile_images/898684538188115969/a1QEwxJV.jpg","View")</f>
        <v>View</v>
      </c>
    </row>
    <row r="763" spans="1:21" ht="20.399999999999999">
      <c r="A763" s="6">
        <v>43440.725428240738</v>
      </c>
      <c r="B763" s="7" t="str">
        <f>HYPERLINK("https://twitter.com/alrovi30","@alrovi30")</f>
        <v>@alrovi30</v>
      </c>
      <c r="C763" s="8" t="s">
        <v>2863</v>
      </c>
      <c r="D763" s="9" t="s">
        <v>2864</v>
      </c>
      <c r="E763" s="10" t="str">
        <f>HYPERLINK("https://twitter.com/alrovi30/status/1070715647162793985","1070715647162793985")</f>
        <v>1070715647162793985</v>
      </c>
      <c r="F763" s="11"/>
      <c r="G763" s="16" t="s">
        <v>2865</v>
      </c>
      <c r="H763" s="11"/>
      <c r="I763" s="12">
        <v>0</v>
      </c>
      <c r="J763" s="12">
        <v>0</v>
      </c>
      <c r="K763" s="13" t="str">
        <f>HYPERLINK("http://twitter.com/download/android","Twitter for Android")</f>
        <v>Twitter for Android</v>
      </c>
      <c r="L763" s="12">
        <v>188</v>
      </c>
      <c r="M763" s="12">
        <v>194</v>
      </c>
      <c r="N763" s="12">
        <v>2</v>
      </c>
      <c r="O763" s="14"/>
      <c r="P763" s="6">
        <v>41455.53534722222</v>
      </c>
      <c r="Q763" s="11"/>
      <c r="R763" s="17" t="s">
        <v>2866</v>
      </c>
      <c r="S763" s="11"/>
      <c r="T763" s="11"/>
      <c r="U763" s="10" t="str">
        <f>HYPERLINK("https://pbs.twimg.com/profile_images/1070749568512471040/SOE07QDq.jpg","View")</f>
        <v>View</v>
      </c>
    </row>
    <row r="764" spans="1:21" ht="40.799999999999997">
      <c r="A764" s="6">
        <v>43440.724270833336</v>
      </c>
      <c r="B764" s="7" t="str">
        <f>HYPERLINK("https://twitter.com/TetuanVox","@TetuanVox")</f>
        <v>@TetuanVox</v>
      </c>
      <c r="C764" s="8" t="s">
        <v>1373</v>
      </c>
      <c r="D764" s="9" t="s">
        <v>2867</v>
      </c>
      <c r="E764" s="10" t="str">
        <f>HYPERLINK("https://twitter.com/TetuanVox/status/1070715224783769601","1070715224783769601")</f>
        <v>1070715224783769601</v>
      </c>
      <c r="F764" s="11"/>
      <c r="G764" s="16" t="s">
        <v>2868</v>
      </c>
      <c r="H764" s="11"/>
      <c r="I764" s="12">
        <v>0</v>
      </c>
      <c r="J764" s="12">
        <v>1</v>
      </c>
      <c r="K764" s="13" t="str">
        <f>HYPERLINK("http://twitter.com/download/iphone","Twitter for iPhone")</f>
        <v>Twitter for iPhone</v>
      </c>
      <c r="L764" s="12">
        <v>116</v>
      </c>
      <c r="M764" s="12">
        <v>543</v>
      </c>
      <c r="N764" s="12">
        <v>1</v>
      </c>
      <c r="O764" s="14"/>
      <c r="P764" s="6">
        <v>43272.623807870375</v>
      </c>
      <c r="Q764" s="15" t="s">
        <v>185</v>
      </c>
      <c r="R764" s="17" t="s">
        <v>1376</v>
      </c>
      <c r="S764" s="16" t="s">
        <v>1377</v>
      </c>
      <c r="T764" s="11"/>
      <c r="U764" s="10" t="str">
        <f>HYPERLINK("https://pbs.twimg.com/profile_images/1009782984109674496/iXclrgDA.jpg","View")</f>
        <v>View</v>
      </c>
    </row>
    <row r="765" spans="1:21" ht="20.399999999999999">
      <c r="A765" s="6">
        <v>43440.720405092594</v>
      </c>
      <c r="B765" s="7" t="str">
        <f>HYPERLINK("https://twitter.com/SergioA84898608","@SergioA84898608")</f>
        <v>@SergioA84898608</v>
      </c>
      <c r="C765" s="8" t="s">
        <v>2869</v>
      </c>
      <c r="D765" s="9" t="s">
        <v>2870</v>
      </c>
      <c r="E765" s="10" t="str">
        <f>HYPERLINK("https://twitter.com/SergioA84898608/status/1070713827040346113","1070713827040346113")</f>
        <v>1070713827040346113</v>
      </c>
      <c r="F765" s="11"/>
      <c r="G765" s="16" t="s">
        <v>2871</v>
      </c>
      <c r="H765" s="11"/>
      <c r="I765" s="12">
        <v>0</v>
      </c>
      <c r="J765" s="12">
        <v>1</v>
      </c>
      <c r="K765" s="13" t="str">
        <f>HYPERLINK("http://twitter.com/download/android","Twitter for Android")</f>
        <v>Twitter for Android</v>
      </c>
      <c r="L765" s="12">
        <v>1</v>
      </c>
      <c r="M765" s="12">
        <v>10</v>
      </c>
      <c r="N765" s="12">
        <v>0</v>
      </c>
      <c r="O765" s="14"/>
      <c r="P765" s="6">
        <v>43432.959861111114</v>
      </c>
      <c r="Q765" s="11"/>
      <c r="R765" s="18"/>
      <c r="S765" s="11"/>
      <c r="T765" s="11"/>
      <c r="U765" s="23" t="s">
        <v>437</v>
      </c>
    </row>
    <row r="766" spans="1:21" ht="40.799999999999997">
      <c r="A766" s="6">
        <v>43440.719513888893</v>
      </c>
      <c r="B766" s="7" t="str">
        <f>HYPERLINK("https://twitter.com/EquiparacionY","@EquiparacionY")</f>
        <v>@EquiparacionY</v>
      </c>
      <c r="C766" s="8" t="s">
        <v>2872</v>
      </c>
      <c r="D766" s="9" t="s">
        <v>2873</v>
      </c>
      <c r="E766" s="10" t="str">
        <f>HYPERLINK("https://twitter.com/EquiparacionY/status/1070713500991938566","1070713500991938566")</f>
        <v>1070713500991938566</v>
      </c>
      <c r="F766" s="11"/>
      <c r="G766" s="16" t="s">
        <v>2874</v>
      </c>
      <c r="H766" s="11"/>
      <c r="I766" s="12">
        <v>0</v>
      </c>
      <c r="J766" s="12">
        <v>0</v>
      </c>
      <c r="K766" s="13" t="str">
        <f t="shared" ref="K766:K767" si="182">HYPERLINK("http://twitter.com/download/iphone","Twitter for iPhone")</f>
        <v>Twitter for iPhone</v>
      </c>
      <c r="L766" s="12">
        <v>42</v>
      </c>
      <c r="M766" s="12">
        <v>245</v>
      </c>
      <c r="N766" s="12">
        <v>0</v>
      </c>
      <c r="O766" s="14"/>
      <c r="P766" s="6">
        <v>43091.99894675926</v>
      </c>
      <c r="Q766" s="15" t="s">
        <v>2875</v>
      </c>
      <c r="R766" s="17" t="s">
        <v>2876</v>
      </c>
      <c r="S766" s="11"/>
      <c r="T766" s="11"/>
      <c r="U766" s="10" t="str">
        <f>HYPERLINK("https://pbs.twimg.com/profile_images/1070422030766497792/kGCvxMr5.jpg","View")</f>
        <v>View</v>
      </c>
    </row>
    <row r="767" spans="1:21" ht="40.799999999999997">
      <c r="A767" s="6">
        <v>43440.719351851847</v>
      </c>
      <c r="B767" s="7" t="str">
        <f>HYPERLINK("https://twitter.com/rocioperezdeaya","@rocioperezdeaya")</f>
        <v>@rocioperezdeaya</v>
      </c>
      <c r="C767" s="8" t="s">
        <v>2877</v>
      </c>
      <c r="D767" s="9" t="s">
        <v>2878</v>
      </c>
      <c r="E767" s="10" t="str">
        <f>HYPERLINK("https://twitter.com/rocioperezdeaya/status/1070713441860706304","1070713441860706304")</f>
        <v>1070713441860706304</v>
      </c>
      <c r="F767" s="11"/>
      <c r="G767" s="16" t="s">
        <v>2879</v>
      </c>
      <c r="H767" s="11"/>
      <c r="I767" s="12">
        <v>0</v>
      </c>
      <c r="J767" s="12">
        <v>0</v>
      </c>
      <c r="K767" s="13" t="str">
        <f t="shared" si="182"/>
        <v>Twitter for iPhone</v>
      </c>
      <c r="L767" s="12">
        <v>154</v>
      </c>
      <c r="M767" s="12">
        <v>289</v>
      </c>
      <c r="N767" s="12">
        <v>0</v>
      </c>
      <c r="O767" s="14"/>
      <c r="P767" s="6">
        <v>40265.710532407407</v>
      </c>
      <c r="Q767" s="15" t="s">
        <v>2880</v>
      </c>
      <c r="R767" s="18"/>
      <c r="S767" s="11"/>
      <c r="T767" s="11"/>
      <c r="U767" s="10" t="str">
        <f>HYPERLINK("https://pbs.twimg.com/profile_images/685208043605352450/bD2ztUI-.jpg","View")</f>
        <v>View</v>
      </c>
    </row>
    <row r="768" spans="1:21" ht="30.6">
      <c r="A768" s="6">
        <v>43440.71876157407</v>
      </c>
      <c r="B768" s="7" t="str">
        <f>HYPERLINK("https://twitter.com/FormulaTV","@FormulaTV")</f>
        <v>@FormulaTV</v>
      </c>
      <c r="C768" s="8" t="s">
        <v>2881</v>
      </c>
      <c r="D768" s="9" t="s">
        <v>2882</v>
      </c>
      <c r="E768" s="10" t="str">
        <f>HYPERLINK("https://twitter.com/FormulaTV/status/1070713230199279616","1070713230199279616")</f>
        <v>1070713230199279616</v>
      </c>
      <c r="F768" s="16" t="s">
        <v>2883</v>
      </c>
      <c r="G768" s="16" t="s">
        <v>2884</v>
      </c>
      <c r="H768" s="11"/>
      <c r="I768" s="12">
        <v>0</v>
      </c>
      <c r="J768" s="12">
        <v>5</v>
      </c>
      <c r="K768" s="13" t="str">
        <f>HYPERLINK("http://www.noxvo.com","Noxvo")</f>
        <v>Noxvo</v>
      </c>
      <c r="L768" s="12">
        <v>310338</v>
      </c>
      <c r="M768" s="12">
        <v>895</v>
      </c>
      <c r="N768" s="12">
        <v>2626</v>
      </c>
      <c r="O768" s="23" t="s">
        <v>89</v>
      </c>
      <c r="P768" s="6">
        <v>39778.002685185187</v>
      </c>
      <c r="Q768" s="11"/>
      <c r="R768" s="17" t="s">
        <v>2885</v>
      </c>
      <c r="S768" s="16" t="s">
        <v>2886</v>
      </c>
      <c r="T768" s="11"/>
      <c r="U768" s="10" t="str">
        <f>HYPERLINK("https://pbs.twimg.com/profile_images/1016331738665152513/n4fp9Dpz.jpg","View")</f>
        <v>View</v>
      </c>
    </row>
    <row r="769" spans="1:21" ht="30.6">
      <c r="A769" s="6">
        <v>43440.716597222221</v>
      </c>
      <c r="B769" s="7" t="str">
        <f>HYPERLINK("https://twitter.com/f_fusterfabra","@f_fusterfabra")</f>
        <v>@f_fusterfabra</v>
      </c>
      <c r="C769" s="8" t="s">
        <v>2887</v>
      </c>
      <c r="D769" s="9" t="s">
        <v>2888</v>
      </c>
      <c r="E769" s="10" t="str">
        <f>HYPERLINK("https://twitter.com/f_fusterfabra/status/1070712446015422464","1070712446015422464")</f>
        <v>1070712446015422464</v>
      </c>
      <c r="F769" s="16" t="s">
        <v>2889</v>
      </c>
      <c r="G769" s="11"/>
      <c r="H769" s="11"/>
      <c r="I769" s="12">
        <v>0</v>
      </c>
      <c r="J769" s="12">
        <v>0</v>
      </c>
      <c r="K769" s="13" t="str">
        <f>HYPERLINK("http://twitter.com","Twitter Web Client")</f>
        <v>Twitter Web Client</v>
      </c>
      <c r="L769" s="12">
        <v>711</v>
      </c>
      <c r="M769" s="12">
        <v>674</v>
      </c>
      <c r="N769" s="12">
        <v>137</v>
      </c>
      <c r="O769" s="14"/>
      <c r="P769" s="6">
        <v>40115.455243055556</v>
      </c>
      <c r="Q769" s="15" t="s">
        <v>712</v>
      </c>
      <c r="R769" s="17" t="s">
        <v>2890</v>
      </c>
      <c r="S769" s="16" t="s">
        <v>2891</v>
      </c>
      <c r="T769" s="11"/>
      <c r="U769" s="10" t="str">
        <f>HYPERLINK("https://pbs.twimg.com/profile_images/1056702343541149696/6dkEPgjr.jpg","View")</f>
        <v>View</v>
      </c>
    </row>
    <row r="770" spans="1:21" ht="91.8">
      <c r="A770" s="6">
        <v>43440.714814814812</v>
      </c>
      <c r="B770" s="7" t="str">
        <f>HYPERLINK("https://twitter.com/SL_Brandoni","@SL_Brandoni")</f>
        <v>@SL_Brandoni</v>
      </c>
      <c r="C770" s="8" t="s">
        <v>2892</v>
      </c>
      <c r="D770" s="9" t="s">
        <v>2893</v>
      </c>
      <c r="E770" s="10" t="str">
        <f>HYPERLINK("https://twitter.com/SL_Brandoni/status/1070711799698350080","1070711799698350080")</f>
        <v>1070711799698350080</v>
      </c>
      <c r="F770" s="16" t="s">
        <v>2894</v>
      </c>
      <c r="G770" s="11"/>
      <c r="H770" s="11"/>
      <c r="I770" s="12">
        <v>0</v>
      </c>
      <c r="J770" s="12">
        <v>0</v>
      </c>
      <c r="K770" s="13" t="str">
        <f>HYPERLINK("https://mobile.twitter.com","Twitter Lite")</f>
        <v>Twitter Lite</v>
      </c>
      <c r="L770" s="12">
        <v>132</v>
      </c>
      <c r="M770" s="12">
        <v>113</v>
      </c>
      <c r="N770" s="12">
        <v>1</v>
      </c>
      <c r="O770" s="14"/>
      <c r="P770" s="6">
        <v>42988.398043981477</v>
      </c>
      <c r="Q770" s="15" t="s">
        <v>2895</v>
      </c>
      <c r="R770" s="17" t="s">
        <v>2896</v>
      </c>
      <c r="S770" s="16" t="s">
        <v>2897</v>
      </c>
      <c r="T770" s="11"/>
      <c r="U770" s="10" t="str">
        <f>HYPERLINK("https://pbs.twimg.com/profile_images/946756164171247616/DPQzga7u.jpg","View")</f>
        <v>View</v>
      </c>
    </row>
    <row r="771" spans="1:21" ht="30.6">
      <c r="A771" s="6">
        <v>43440.713344907403</v>
      </c>
      <c r="B771" s="7" t="str">
        <f>HYPERLINK("https://twitter.com/ustednoesyo","@ustednoesyo")</f>
        <v>@ustednoesyo</v>
      </c>
      <c r="C771" s="8" t="s">
        <v>2898</v>
      </c>
      <c r="D771" s="9" t="s">
        <v>2899</v>
      </c>
      <c r="E771" s="10" t="str">
        <f>HYPERLINK("https://twitter.com/ustednoesyo/status/1070711268552699905","1070711268552699905")</f>
        <v>1070711268552699905</v>
      </c>
      <c r="F771" s="11"/>
      <c r="G771" s="11"/>
      <c r="H771" s="11"/>
      <c r="I771" s="12">
        <v>0</v>
      </c>
      <c r="J771" s="12">
        <v>2</v>
      </c>
      <c r="K771" s="13" t="str">
        <f>HYPERLINK("http://twitter.com/download/iphone","Twitter for iPhone")</f>
        <v>Twitter for iPhone</v>
      </c>
      <c r="L771" s="12">
        <v>6632</v>
      </c>
      <c r="M771" s="12">
        <v>721</v>
      </c>
      <c r="N771" s="12">
        <v>207</v>
      </c>
      <c r="O771" s="14"/>
      <c r="P771" s="6">
        <v>40582.047824074078</v>
      </c>
      <c r="Q771" s="15" t="s">
        <v>2900</v>
      </c>
      <c r="R771" s="17" t="s">
        <v>2901</v>
      </c>
      <c r="S771" s="11"/>
      <c r="T771" s="11"/>
      <c r="U771" s="10" t="str">
        <f>HYPERLINK("https://pbs.twimg.com/profile_images/953244322538971137/SPC831FI.jpg","View")</f>
        <v>View</v>
      </c>
    </row>
    <row r="772" spans="1:21" ht="51">
      <c r="A772" s="6">
        <v>43440.712175925924</v>
      </c>
      <c r="B772" s="7" t="str">
        <f>HYPERLINK("https://twitter.com/DonPelayo11","@DonPelayo11")</f>
        <v>@DonPelayo11</v>
      </c>
      <c r="C772" s="8" t="s">
        <v>2902</v>
      </c>
      <c r="D772" s="9" t="s">
        <v>2903</v>
      </c>
      <c r="E772" s="10" t="str">
        <f>HYPERLINK("https://twitter.com/DonPelayo11/status/1070710845045383168","1070710845045383168")</f>
        <v>1070710845045383168</v>
      </c>
      <c r="F772" s="11"/>
      <c r="G772" s="16" t="s">
        <v>2904</v>
      </c>
      <c r="H772" s="11"/>
      <c r="I772" s="12">
        <v>3</v>
      </c>
      <c r="J772" s="12">
        <v>6</v>
      </c>
      <c r="K772" s="13" t="str">
        <f>HYPERLINK("http://twitter.com/download/android","Twitter for Android")</f>
        <v>Twitter for Android</v>
      </c>
      <c r="L772" s="12">
        <v>749</v>
      </c>
      <c r="M772" s="12">
        <v>699</v>
      </c>
      <c r="N772" s="12">
        <v>2</v>
      </c>
      <c r="O772" s="14"/>
      <c r="P772" s="6">
        <v>42389.958136574074</v>
      </c>
      <c r="Q772" s="11"/>
      <c r="R772" s="17" t="s">
        <v>2905</v>
      </c>
      <c r="S772" s="11"/>
      <c r="T772" s="11"/>
      <c r="U772" s="10" t="str">
        <f>HYPERLINK("https://pbs.twimg.com/profile_images/996497766594564096/XgK0gHxE.jpg","View")</f>
        <v>View</v>
      </c>
    </row>
    <row r="773" spans="1:21" ht="13.2">
      <c r="A773" s="6">
        <v>43440.706111111111</v>
      </c>
      <c r="B773" s="7" t="str">
        <f>HYPERLINK("https://twitter.com/javifuentes99","@javifuentes99")</f>
        <v>@javifuentes99</v>
      </c>
      <c r="C773" s="8" t="s">
        <v>100</v>
      </c>
      <c r="D773" s="9" t="s">
        <v>2906</v>
      </c>
      <c r="E773" s="10" t="str">
        <f>HYPERLINK("https://twitter.com/javifuentes99/status/1070708643933360129","1070708643933360129")</f>
        <v>1070708643933360129</v>
      </c>
      <c r="F773" s="11"/>
      <c r="G773" s="16" t="s">
        <v>2907</v>
      </c>
      <c r="H773" s="11"/>
      <c r="I773" s="12">
        <v>1</v>
      </c>
      <c r="J773" s="12">
        <v>3</v>
      </c>
      <c r="K773" s="13" t="str">
        <f>HYPERLINK("http://twitter.com/download/iphone","Twitter for iPhone")</f>
        <v>Twitter for iPhone</v>
      </c>
      <c r="L773" s="12">
        <v>1022</v>
      </c>
      <c r="M773" s="12">
        <v>1017</v>
      </c>
      <c r="N773" s="12">
        <v>10</v>
      </c>
      <c r="O773" s="14"/>
      <c r="P773" s="6">
        <v>40759.766851851848</v>
      </c>
      <c r="Q773" s="15" t="s">
        <v>2908</v>
      </c>
      <c r="R773" s="17" t="s">
        <v>2909</v>
      </c>
      <c r="S773" s="16" t="s">
        <v>2910</v>
      </c>
      <c r="T773" s="11"/>
      <c r="U773" s="10" t="str">
        <f>HYPERLINK("https://pbs.twimg.com/profile_images/1032697498790514690/nJu_t0aC.jpg","View")</f>
        <v>View</v>
      </c>
    </row>
    <row r="774" spans="1:21" ht="51">
      <c r="A774" s="6">
        <v>43440.700729166667</v>
      </c>
      <c r="B774" s="7" t="str">
        <f t="shared" ref="B774:B775" si="183">HYPERLINK("https://twitter.com/UlisesGamez10","@UlisesGamez10")</f>
        <v>@UlisesGamez10</v>
      </c>
      <c r="C774" s="8" t="s">
        <v>233</v>
      </c>
      <c r="D774" s="9" t="s">
        <v>2911</v>
      </c>
      <c r="E774" s="10" t="str">
        <f>HYPERLINK("https://twitter.com/UlisesGamez10/status/1070706696467742720","1070706696467742720")</f>
        <v>1070706696467742720</v>
      </c>
      <c r="F774" s="11"/>
      <c r="G774" s="11"/>
      <c r="H774" s="11"/>
      <c r="I774" s="12">
        <v>0</v>
      </c>
      <c r="J774" s="12">
        <v>0</v>
      </c>
      <c r="K774" s="13" t="str">
        <f t="shared" ref="K774:K782" si="184">HYPERLINK("http://twitter.com/download/android","Twitter for Android")</f>
        <v>Twitter for Android</v>
      </c>
      <c r="L774" s="12">
        <v>1184</v>
      </c>
      <c r="M774" s="12">
        <v>5002</v>
      </c>
      <c r="N774" s="12">
        <v>0</v>
      </c>
      <c r="O774" s="14"/>
      <c r="P774" s="6">
        <v>43190.59783564815</v>
      </c>
      <c r="Q774" s="15" t="s">
        <v>236</v>
      </c>
      <c r="R774" s="17" t="s">
        <v>237</v>
      </c>
      <c r="S774" s="11"/>
      <c r="T774" s="11"/>
      <c r="U774" s="10" t="str">
        <f t="shared" ref="U774:U775" si="185">HYPERLINK("https://pbs.twimg.com/profile_images/1068881444196499456/MCgxp2WR.jpg","View")</f>
        <v>View</v>
      </c>
    </row>
    <row r="775" spans="1:21" ht="61.2">
      <c r="A775" s="6">
        <v>43440.697928240741</v>
      </c>
      <c r="B775" s="7" t="str">
        <f t="shared" si="183"/>
        <v>@UlisesGamez10</v>
      </c>
      <c r="C775" s="8" t="s">
        <v>233</v>
      </c>
      <c r="D775" s="9" t="s">
        <v>2912</v>
      </c>
      <c r="E775" s="10" t="str">
        <f>HYPERLINK("https://twitter.com/UlisesGamez10/status/1070705679252512768","1070705679252512768")</f>
        <v>1070705679252512768</v>
      </c>
      <c r="F775" s="11"/>
      <c r="G775" s="11"/>
      <c r="H775" s="11"/>
      <c r="I775" s="12">
        <v>0</v>
      </c>
      <c r="J775" s="12">
        <v>0</v>
      </c>
      <c r="K775" s="13" t="str">
        <f t="shared" si="184"/>
        <v>Twitter for Android</v>
      </c>
      <c r="L775" s="12">
        <v>1184</v>
      </c>
      <c r="M775" s="12">
        <v>5002</v>
      </c>
      <c r="N775" s="12">
        <v>0</v>
      </c>
      <c r="O775" s="14"/>
      <c r="P775" s="6">
        <v>43190.59783564815</v>
      </c>
      <c r="Q775" s="15" t="s">
        <v>236</v>
      </c>
      <c r="R775" s="17" t="s">
        <v>237</v>
      </c>
      <c r="S775" s="11"/>
      <c r="T775" s="11"/>
      <c r="U775" s="10" t="str">
        <f t="shared" si="185"/>
        <v>View</v>
      </c>
    </row>
    <row r="776" spans="1:21" ht="51">
      <c r="A776" s="6">
        <v>43440.695520833338</v>
      </c>
      <c r="B776" s="7" t="str">
        <f>HYPERLINK("https://twitter.com/venanciogomezca","@venanciogomezca")</f>
        <v>@venanciogomezca</v>
      </c>
      <c r="C776" s="8" t="s">
        <v>2913</v>
      </c>
      <c r="D776" s="9" t="s">
        <v>2914</v>
      </c>
      <c r="E776" s="10" t="str">
        <f>HYPERLINK("https://twitter.com/venanciogomezca/status/1070704805767725056","1070704805767725056")</f>
        <v>1070704805767725056</v>
      </c>
      <c r="F776" s="11"/>
      <c r="G776" s="16" t="s">
        <v>2915</v>
      </c>
      <c r="H776" s="11"/>
      <c r="I776" s="12">
        <v>0</v>
      </c>
      <c r="J776" s="12">
        <v>0</v>
      </c>
      <c r="K776" s="13" t="str">
        <f t="shared" si="184"/>
        <v>Twitter for Android</v>
      </c>
      <c r="L776" s="12">
        <v>64</v>
      </c>
      <c r="M776" s="12">
        <v>573</v>
      </c>
      <c r="N776" s="12">
        <v>4</v>
      </c>
      <c r="O776" s="14"/>
      <c r="P776" s="6">
        <v>42633.747418981482</v>
      </c>
      <c r="Q776" s="15" t="s">
        <v>724</v>
      </c>
      <c r="R776" s="17" t="s">
        <v>2916</v>
      </c>
      <c r="S776" s="11"/>
      <c r="T776" s="11"/>
      <c r="U776" s="10" t="str">
        <f>HYPERLINK("https://pbs.twimg.com/profile_images/1069319284999012352/BMkNIezl.jpg","View")</f>
        <v>View</v>
      </c>
    </row>
    <row r="777" spans="1:21" ht="91.8">
      <c r="A777" s="6">
        <v>43440.695104166662</v>
      </c>
      <c r="B777" s="7" t="str">
        <f>HYPERLINK("https://twitter.com/PerdigueroSIPEp","@PerdigueroSIPEp")</f>
        <v>@PerdigueroSIPEp</v>
      </c>
      <c r="C777" s="8" t="s">
        <v>2917</v>
      </c>
      <c r="D777" s="9" t="s">
        <v>2918</v>
      </c>
      <c r="E777" s="10" t="str">
        <f>HYPERLINK("https://twitter.com/PerdigueroSIPEp/status/1070704658518298625","1070704658518298625")</f>
        <v>1070704658518298625</v>
      </c>
      <c r="F777" s="16" t="s">
        <v>2542</v>
      </c>
      <c r="G777" s="16" t="s">
        <v>2543</v>
      </c>
      <c r="H777" s="11"/>
      <c r="I777" s="12">
        <v>577</v>
      </c>
      <c r="J777" s="12">
        <v>591</v>
      </c>
      <c r="K777" s="13" t="str">
        <f t="shared" si="184"/>
        <v>Twitter for Android</v>
      </c>
      <c r="L777" s="12">
        <v>21022</v>
      </c>
      <c r="M777" s="12">
        <v>719</v>
      </c>
      <c r="N777" s="12">
        <v>123</v>
      </c>
      <c r="O777" s="14"/>
      <c r="P777" s="6">
        <v>42737.827673611115</v>
      </c>
      <c r="Q777" s="15" t="s">
        <v>185</v>
      </c>
      <c r="R777" s="17" t="s">
        <v>2919</v>
      </c>
      <c r="S777" s="16" t="s">
        <v>2920</v>
      </c>
      <c r="T777" s="11"/>
      <c r="U777" s="10" t="str">
        <f>HYPERLINK("https://pbs.twimg.com/profile_images/818534525043179521/qGjb-bg-.jpg","View")</f>
        <v>View</v>
      </c>
    </row>
    <row r="778" spans="1:21" ht="61.2">
      <c r="A778" s="6">
        <v>43440.693368055552</v>
      </c>
      <c r="B778" s="7" t="str">
        <f>HYPERLINK("https://twitter.com/AdayQsd","@AdayQsd")</f>
        <v>@AdayQsd</v>
      </c>
      <c r="C778" s="8" t="s">
        <v>2921</v>
      </c>
      <c r="D778" s="9" t="s">
        <v>2922</v>
      </c>
      <c r="E778" s="10" t="str">
        <f>HYPERLINK("https://twitter.com/AdayQsd/status/1070704029255303206","1070704029255303206")</f>
        <v>1070704029255303206</v>
      </c>
      <c r="F778" s="15" t="s">
        <v>1001</v>
      </c>
      <c r="G778" s="16" t="s">
        <v>1002</v>
      </c>
      <c r="H778" s="11"/>
      <c r="I778" s="12">
        <v>0</v>
      </c>
      <c r="J778" s="12">
        <v>0</v>
      </c>
      <c r="K778" s="13" t="str">
        <f t="shared" si="184"/>
        <v>Twitter for Android</v>
      </c>
      <c r="L778" s="12">
        <v>730</v>
      </c>
      <c r="M778" s="12">
        <v>71</v>
      </c>
      <c r="N778" s="12">
        <v>21</v>
      </c>
      <c r="O778" s="14"/>
      <c r="P778" s="6">
        <v>40190.430393518516</v>
      </c>
      <c r="Q778" s="15" t="s">
        <v>1907</v>
      </c>
      <c r="R778" s="17" t="s">
        <v>2923</v>
      </c>
      <c r="S778" s="16" t="s">
        <v>2924</v>
      </c>
      <c r="T778" s="11"/>
      <c r="U778" s="10" t="str">
        <f>HYPERLINK("https://pbs.twimg.com/profile_images/1057625981417152513/VlGPcxvu.jpg","View")</f>
        <v>View</v>
      </c>
    </row>
    <row r="779" spans="1:21" ht="40.799999999999997">
      <c r="A779" s="6">
        <v>43440.689884259264</v>
      </c>
      <c r="B779" s="7" t="str">
        <f>HYPERLINK("https://twitter.com/ArtistJotaErre","@ArtistJotaErre")</f>
        <v>@ArtistJotaErre</v>
      </c>
      <c r="C779" s="8" t="s">
        <v>2925</v>
      </c>
      <c r="D779" s="9" t="s">
        <v>2926</v>
      </c>
      <c r="E779" s="10" t="str">
        <f>HYPERLINK("https://twitter.com/ArtistJotaErre/status/1070702764785852417","1070702764785852417")</f>
        <v>1070702764785852417</v>
      </c>
      <c r="F779" s="11"/>
      <c r="G779" s="11"/>
      <c r="H779" s="11"/>
      <c r="I779" s="12">
        <v>0</v>
      </c>
      <c r="J779" s="12">
        <v>0</v>
      </c>
      <c r="K779" s="13" t="str">
        <f t="shared" si="184"/>
        <v>Twitter for Android</v>
      </c>
      <c r="L779" s="12">
        <v>636</v>
      </c>
      <c r="M779" s="12">
        <v>541</v>
      </c>
      <c r="N779" s="12">
        <v>16</v>
      </c>
      <c r="O779" s="14"/>
      <c r="P779" s="6">
        <v>40854.99732638889</v>
      </c>
      <c r="Q779" s="11"/>
      <c r="R779" s="17" t="s">
        <v>2927</v>
      </c>
      <c r="S779" s="11"/>
      <c r="T779" s="11"/>
      <c r="U779" s="10" t="str">
        <f>HYPERLINK("https://pbs.twimg.com/profile_images/1052476566943469568/jfzMU6Qy.jpg","View")</f>
        <v>View</v>
      </c>
    </row>
    <row r="780" spans="1:21" ht="13.2">
      <c r="A780" s="6">
        <v>43440.688842592594</v>
      </c>
      <c r="B780" s="7" t="str">
        <f>HYPERLINK("https://twitter.com/qqqqetru","@qqqqetru")</f>
        <v>@qqqqetru</v>
      </c>
      <c r="C780" s="8" t="s">
        <v>843</v>
      </c>
      <c r="D780" s="9" t="s">
        <v>2928</v>
      </c>
      <c r="E780" s="10" t="str">
        <f>HYPERLINK("https://twitter.com/qqqqetru/status/1070702386153439232","1070702386153439232")</f>
        <v>1070702386153439232</v>
      </c>
      <c r="F780" s="16" t="s">
        <v>2929</v>
      </c>
      <c r="G780" s="11"/>
      <c r="H780" s="11"/>
      <c r="I780" s="12">
        <v>2</v>
      </c>
      <c r="J780" s="12">
        <v>0</v>
      </c>
      <c r="K780" s="13" t="str">
        <f t="shared" si="184"/>
        <v>Twitter for Android</v>
      </c>
      <c r="L780" s="12">
        <v>649</v>
      </c>
      <c r="M780" s="12">
        <v>1194</v>
      </c>
      <c r="N780" s="12">
        <v>2</v>
      </c>
      <c r="O780" s="14"/>
      <c r="P780" s="6">
        <v>40749.437719907408</v>
      </c>
      <c r="Q780" s="11"/>
      <c r="R780" s="18"/>
      <c r="S780" s="11"/>
      <c r="T780" s="11"/>
      <c r="U780" s="10" t="str">
        <f>HYPERLINK("https://pbs.twimg.com/profile_images/1069734331780870144/d_KYpBFy.jpg","View")</f>
        <v>View</v>
      </c>
    </row>
    <row r="781" spans="1:21" ht="51">
      <c r="A781" s="6">
        <v>43440.685347222221</v>
      </c>
      <c r="B781" s="7" t="str">
        <f>HYPERLINK("https://twitter.com/UlisesGamez10","@UlisesGamez10")</f>
        <v>@UlisesGamez10</v>
      </c>
      <c r="C781" s="8" t="s">
        <v>233</v>
      </c>
      <c r="D781" s="9" t="s">
        <v>2930</v>
      </c>
      <c r="E781" s="10" t="str">
        <f>HYPERLINK("https://twitter.com/UlisesGamez10/status/1070701122711666689","1070701122711666689")</f>
        <v>1070701122711666689</v>
      </c>
      <c r="F781" s="11"/>
      <c r="G781" s="11"/>
      <c r="H781" s="11"/>
      <c r="I781" s="12">
        <v>0</v>
      </c>
      <c r="J781" s="12">
        <v>0</v>
      </c>
      <c r="K781" s="13" t="str">
        <f t="shared" si="184"/>
        <v>Twitter for Android</v>
      </c>
      <c r="L781" s="12">
        <v>1184</v>
      </c>
      <c r="M781" s="12">
        <v>5002</v>
      </c>
      <c r="N781" s="12">
        <v>0</v>
      </c>
      <c r="O781" s="14"/>
      <c r="P781" s="6">
        <v>43190.59783564815</v>
      </c>
      <c r="Q781" s="15" t="s">
        <v>236</v>
      </c>
      <c r="R781" s="17" t="s">
        <v>237</v>
      </c>
      <c r="S781" s="11"/>
      <c r="T781" s="11"/>
      <c r="U781" s="10" t="str">
        <f>HYPERLINK("https://pbs.twimg.com/profile_images/1068881444196499456/MCgxp2WR.jpg","View")</f>
        <v>View</v>
      </c>
    </row>
    <row r="782" spans="1:21" ht="20.399999999999999">
      <c r="A782" s="6">
        <v>43440.679282407407</v>
      </c>
      <c r="B782" s="7" t="str">
        <f>HYPERLINK("https://twitter.com/FidelFortes","@FidelFortes")</f>
        <v>@FidelFortes</v>
      </c>
      <c r="C782" s="8" t="s">
        <v>2931</v>
      </c>
      <c r="D782" s="9" t="s">
        <v>2932</v>
      </c>
      <c r="E782" s="10" t="str">
        <f>HYPERLINK("https://twitter.com/FidelFortes/status/1070698922836938752","1070698922836938752")</f>
        <v>1070698922836938752</v>
      </c>
      <c r="F782" s="11"/>
      <c r="G782" s="11"/>
      <c r="H782" s="11"/>
      <c r="I782" s="12">
        <v>0</v>
      </c>
      <c r="J782" s="12">
        <v>0</v>
      </c>
      <c r="K782" s="13" t="str">
        <f t="shared" si="184"/>
        <v>Twitter for Android</v>
      </c>
      <c r="L782" s="12">
        <v>660</v>
      </c>
      <c r="M782" s="12">
        <v>828</v>
      </c>
      <c r="N782" s="12">
        <v>7</v>
      </c>
      <c r="O782" s="14"/>
      <c r="P782" s="6">
        <v>40547.93032407407</v>
      </c>
      <c r="Q782" s="15" t="s">
        <v>1359</v>
      </c>
      <c r="R782" s="17" t="s">
        <v>2933</v>
      </c>
      <c r="S782" s="11"/>
      <c r="T782" s="11"/>
      <c r="U782" s="10" t="str">
        <f>HYPERLINK("https://pbs.twimg.com/profile_images/928193751876501504/OUWANCGq.jpg","View")</f>
        <v>View</v>
      </c>
    </row>
    <row r="783" spans="1:21" ht="20.399999999999999">
      <c r="A783" s="6">
        <v>43440.674409722225</v>
      </c>
      <c r="B783" s="7" t="str">
        <f>HYPERLINK("https://twitter.com/Supportapple3","@Supportapple3")</f>
        <v>@Supportapple3</v>
      </c>
      <c r="C783" s="8" t="s">
        <v>2934</v>
      </c>
      <c r="D783" s="9" t="s">
        <v>2935</v>
      </c>
      <c r="E783" s="10" t="str">
        <f>HYPERLINK("https://twitter.com/Supportapple3/status/1070697158809190402","1070697158809190402")</f>
        <v>1070697158809190402</v>
      </c>
      <c r="F783" s="16" t="s">
        <v>2936</v>
      </c>
      <c r="G783" s="11"/>
      <c r="H783" s="11"/>
      <c r="I783" s="12">
        <v>0</v>
      </c>
      <c r="J783" s="12">
        <v>0</v>
      </c>
      <c r="K783" s="13" t="str">
        <f>HYPERLINK("http://twitter.com/download/iphone","Twitter for iPhone")</f>
        <v>Twitter for iPhone</v>
      </c>
      <c r="L783" s="12">
        <v>1372</v>
      </c>
      <c r="M783" s="12">
        <v>1756</v>
      </c>
      <c r="N783" s="12">
        <v>1</v>
      </c>
      <c r="O783" s="14"/>
      <c r="P783" s="6">
        <v>43378.497986111106</v>
      </c>
      <c r="Q783" s="15" t="s">
        <v>2937</v>
      </c>
      <c r="R783" s="17" t="s">
        <v>2938</v>
      </c>
      <c r="S783" s="16" t="s">
        <v>2939</v>
      </c>
      <c r="T783" s="11"/>
      <c r="U783" s="10" t="str">
        <f>HYPERLINK("https://pbs.twimg.com/profile_images/1053036687641722882/aoOqp9sw.jpg","View")</f>
        <v>View</v>
      </c>
    </row>
    <row r="784" spans="1:21" ht="81.599999999999994">
      <c r="A784" s="6">
        <v>43440.673900462964</v>
      </c>
      <c r="B784" s="7" t="str">
        <f>HYPERLINK("https://twitter.com/ElAngelFacha","@ElAngelFacha")</f>
        <v>@ElAngelFacha</v>
      </c>
      <c r="C784" s="8" t="s">
        <v>246</v>
      </c>
      <c r="D784" s="9" t="s">
        <v>2940</v>
      </c>
      <c r="E784" s="10" t="str">
        <f>HYPERLINK("https://twitter.com/ElAngelFacha/status/1070696973207068675","1070696973207068675")</f>
        <v>1070696973207068675</v>
      </c>
      <c r="F784" s="15" t="s">
        <v>1539</v>
      </c>
      <c r="G784" s="11"/>
      <c r="H784" s="11"/>
      <c r="I784" s="12">
        <v>0</v>
      </c>
      <c r="J784" s="12">
        <v>2</v>
      </c>
      <c r="K784" s="13" t="str">
        <f>HYPERLINK("http://twitter.com","Twitter Web Client")</f>
        <v>Twitter Web Client</v>
      </c>
      <c r="L784" s="12">
        <v>1472</v>
      </c>
      <c r="M784" s="12">
        <v>2060</v>
      </c>
      <c r="N784" s="12">
        <v>4</v>
      </c>
      <c r="O784" s="14"/>
      <c r="P784" s="6">
        <v>42923.928784722222</v>
      </c>
      <c r="Q784" s="15" t="s">
        <v>249</v>
      </c>
      <c r="R784" s="17" t="s">
        <v>250</v>
      </c>
      <c r="S784" s="11"/>
      <c r="T784" s="11"/>
      <c r="U784" s="10" t="str">
        <f>HYPERLINK("https://pbs.twimg.com/profile_images/1068670609935208450/c84QvuV4.jpg","View")</f>
        <v>View</v>
      </c>
    </row>
    <row r="785" spans="1:21" ht="30.6">
      <c r="A785" s="6">
        <v>43440.673043981486</v>
      </c>
      <c r="B785" s="7" t="str">
        <f>HYPERLINK("https://twitter.com/caencomonueces","@caencomonueces")</f>
        <v>@caencomonueces</v>
      </c>
      <c r="C785" s="8" t="s">
        <v>913</v>
      </c>
      <c r="D785" s="9" t="s">
        <v>2941</v>
      </c>
      <c r="E785" s="10" t="str">
        <f>HYPERLINK("https://twitter.com/caencomonueces/status/1070696663117897728","1070696663117897728")</f>
        <v>1070696663117897728</v>
      </c>
      <c r="F785" s="16" t="s">
        <v>1743</v>
      </c>
      <c r="G785" s="11"/>
      <c r="H785" s="11"/>
      <c r="I785" s="12">
        <v>0</v>
      </c>
      <c r="J785" s="12">
        <v>0</v>
      </c>
      <c r="K785" s="13" t="str">
        <f>HYPERLINK("http://twitter.com/download/android","Twitter for Android")</f>
        <v>Twitter for Android</v>
      </c>
      <c r="L785" s="12">
        <v>646</v>
      </c>
      <c r="M785" s="12">
        <v>1185</v>
      </c>
      <c r="N785" s="12">
        <v>3</v>
      </c>
      <c r="O785" s="14"/>
      <c r="P785" s="6">
        <v>41242.801539351851</v>
      </c>
      <c r="Q785" s="15" t="s">
        <v>712</v>
      </c>
      <c r="R785" s="17" t="s">
        <v>914</v>
      </c>
      <c r="S785" s="11"/>
      <c r="T785" s="11"/>
      <c r="U785" s="10" t="str">
        <f>HYPERLINK("https://pbs.twimg.com/profile_images/802542076420378628/S_52YFJA.jpg","View")</f>
        <v>View</v>
      </c>
    </row>
    <row r="786" spans="1:21" ht="40.799999999999997">
      <c r="A786" s="6">
        <v>43440.672523148147</v>
      </c>
      <c r="B786" s="7" t="str">
        <f>HYPERLINK("https://twitter.com/DiarioSUR","@DiarioSUR")</f>
        <v>@DiarioSUR</v>
      </c>
      <c r="C786" s="8" t="s">
        <v>2942</v>
      </c>
      <c r="D786" s="9" t="s">
        <v>2943</v>
      </c>
      <c r="E786" s="10" t="str">
        <f>HYPERLINK("https://twitter.com/DiarioSUR/status/1070696474260971520","1070696474260971520")</f>
        <v>1070696474260971520</v>
      </c>
      <c r="F786" s="16" t="s">
        <v>2944</v>
      </c>
      <c r="G786" s="11"/>
      <c r="H786" s="11"/>
      <c r="I786" s="12">
        <v>24</v>
      </c>
      <c r="J786" s="12">
        <v>25</v>
      </c>
      <c r="K786" s="13" t="str">
        <f>HYPERLINK("https://about.twitter.com/products/tweetdeck","TweetDeck")</f>
        <v>TweetDeck</v>
      </c>
      <c r="L786" s="12">
        <v>252146</v>
      </c>
      <c r="M786" s="12">
        <v>6689</v>
      </c>
      <c r="N786" s="12">
        <v>2054</v>
      </c>
      <c r="O786" s="23" t="s">
        <v>89</v>
      </c>
      <c r="P786" s="6">
        <v>39853.755590277782</v>
      </c>
      <c r="Q786" s="15" t="s">
        <v>1359</v>
      </c>
      <c r="R786" s="17" t="s">
        <v>2945</v>
      </c>
      <c r="S786" s="16" t="s">
        <v>2946</v>
      </c>
      <c r="T786" s="11"/>
      <c r="U786" s="10" t="str">
        <f>HYPERLINK("https://pbs.twimg.com/profile_images/1066856110760648704/bTjnkmUL.jpg","View")</f>
        <v>View</v>
      </c>
    </row>
    <row r="787" spans="1:21" ht="51">
      <c r="A787" s="6">
        <v>43440.665625000001</v>
      </c>
      <c r="B787" s="7" t="str">
        <f>HYPERLINK("https://twitter.com/ilbahs","@ilbahs")</f>
        <v>@ilbahs</v>
      </c>
      <c r="C787" s="8" t="s">
        <v>2947</v>
      </c>
      <c r="D787" s="9" t="s">
        <v>2948</v>
      </c>
      <c r="E787" s="10" t="str">
        <f>HYPERLINK("https://twitter.com/ilbahs/status/1070693973453361153","1070693973453361153")</f>
        <v>1070693973453361153</v>
      </c>
      <c r="F787" s="16" t="s">
        <v>2949</v>
      </c>
      <c r="G787" s="11"/>
      <c r="H787" s="11"/>
      <c r="I787" s="12">
        <v>0</v>
      </c>
      <c r="J787" s="12">
        <v>1</v>
      </c>
      <c r="K787" s="13" t="str">
        <f>HYPERLINK("http://twitter.com","Twitter Web Client")</f>
        <v>Twitter Web Client</v>
      </c>
      <c r="L787" s="12">
        <v>110</v>
      </c>
      <c r="M787" s="12">
        <v>256</v>
      </c>
      <c r="N787" s="12">
        <v>0</v>
      </c>
      <c r="O787" s="14"/>
      <c r="P787" s="6">
        <v>41198.376180555555</v>
      </c>
      <c r="Q787" s="15" t="s">
        <v>1992</v>
      </c>
      <c r="R787" s="17" t="s">
        <v>2950</v>
      </c>
      <c r="S787" s="16" t="s">
        <v>2951</v>
      </c>
      <c r="T787" s="11"/>
      <c r="U787" s="10" t="str">
        <f>HYPERLINK("https://pbs.twimg.com/profile_images/813212585973661700/WllV1kWw.jpg","View")</f>
        <v>View</v>
      </c>
    </row>
    <row r="788" spans="1:21" ht="30.6">
      <c r="A788" s="6">
        <v>43440.665081018524</v>
      </c>
      <c r="B788" s="7" t="str">
        <f>HYPERLINK("https://twitter.com/SeoaneKike","@SeoaneKike")</f>
        <v>@SeoaneKike</v>
      </c>
      <c r="C788" s="8" t="s">
        <v>2952</v>
      </c>
      <c r="D788" s="9" t="s">
        <v>2953</v>
      </c>
      <c r="E788" s="10" t="str">
        <f>HYPERLINK("https://twitter.com/SeoaneKike/status/1070693776400809984","1070693776400809984")</f>
        <v>1070693776400809984</v>
      </c>
      <c r="F788" s="11"/>
      <c r="G788" s="11"/>
      <c r="H788" s="11"/>
      <c r="I788" s="12">
        <v>0</v>
      </c>
      <c r="J788" s="12">
        <v>1</v>
      </c>
      <c r="K788" s="13" t="str">
        <f>HYPERLINK("http://twitter.com/download/android","Twitter for Android")</f>
        <v>Twitter for Android</v>
      </c>
      <c r="L788" s="12">
        <v>33</v>
      </c>
      <c r="M788" s="12">
        <v>235</v>
      </c>
      <c r="N788" s="12">
        <v>1</v>
      </c>
      <c r="O788" s="14"/>
      <c r="P788" s="6">
        <v>43375.793923611112</v>
      </c>
      <c r="Q788" s="15" t="s">
        <v>709</v>
      </c>
      <c r="R788" s="17" t="s">
        <v>2954</v>
      </c>
      <c r="S788" s="16" t="s">
        <v>2955</v>
      </c>
      <c r="T788" s="11"/>
      <c r="U788" s="10" t="str">
        <f>HYPERLINK("https://pbs.twimg.com/profile_images/1062588999624257536/CcU6kpoI.jpg","View")</f>
        <v>View</v>
      </c>
    </row>
    <row r="789" spans="1:21" ht="30.6">
      <c r="A789" s="6">
        <v>43440.664733796293</v>
      </c>
      <c r="B789" s="7" t="str">
        <f>HYPERLINK("https://twitter.com/escarvasopas","@escarvasopas")</f>
        <v>@escarvasopas</v>
      </c>
      <c r="C789" s="8" t="s">
        <v>2956</v>
      </c>
      <c r="D789" s="9" t="s">
        <v>2957</v>
      </c>
      <c r="E789" s="10" t="str">
        <f>HYPERLINK("https://twitter.com/escarvasopas/status/1070693652228423681","1070693652228423681")</f>
        <v>1070693652228423681</v>
      </c>
      <c r="F789" s="11"/>
      <c r="G789" s="11"/>
      <c r="H789" s="11"/>
      <c r="I789" s="12">
        <v>181</v>
      </c>
      <c r="J789" s="12">
        <v>279</v>
      </c>
      <c r="K789" s="13" t="str">
        <f>HYPERLINK("https://mobile.twitter.com","Twitter Lite")</f>
        <v>Twitter Lite</v>
      </c>
      <c r="L789" s="12">
        <v>11780</v>
      </c>
      <c r="M789" s="12">
        <v>2173</v>
      </c>
      <c r="N789" s="12">
        <v>98</v>
      </c>
      <c r="O789" s="14"/>
      <c r="P789" s="6">
        <v>41656.892777777779</v>
      </c>
      <c r="Q789" s="11"/>
      <c r="R789" s="17" t="s">
        <v>2958</v>
      </c>
      <c r="S789" s="11"/>
      <c r="T789" s="11"/>
      <c r="U789" s="10" t="str">
        <f>HYPERLINK("https://pbs.twimg.com/profile_images/666305557603753985/TliZY4Ns.jpg","View")</f>
        <v>View</v>
      </c>
    </row>
    <row r="790" spans="1:21" ht="51">
      <c r="A790" s="6">
        <v>43440.66407407407</v>
      </c>
      <c r="B790" s="7" t="str">
        <f>HYPERLINK("https://twitter.com/UlisesGamez10","@UlisesGamez10")</f>
        <v>@UlisesGamez10</v>
      </c>
      <c r="C790" s="8" t="s">
        <v>233</v>
      </c>
      <c r="D790" s="9" t="s">
        <v>2959</v>
      </c>
      <c r="E790" s="10" t="str">
        <f>HYPERLINK("https://twitter.com/UlisesGamez10/status/1070693409529184257","1070693409529184257")</f>
        <v>1070693409529184257</v>
      </c>
      <c r="F790" s="11"/>
      <c r="G790" s="16" t="s">
        <v>2960</v>
      </c>
      <c r="H790" s="11"/>
      <c r="I790" s="12">
        <v>0</v>
      </c>
      <c r="J790" s="12">
        <v>0</v>
      </c>
      <c r="K790" s="13" t="str">
        <f>HYPERLINK("http://twitter.com/download/android","Twitter for Android")</f>
        <v>Twitter for Android</v>
      </c>
      <c r="L790" s="12">
        <v>1184</v>
      </c>
      <c r="M790" s="12">
        <v>5002</v>
      </c>
      <c r="N790" s="12">
        <v>0</v>
      </c>
      <c r="O790" s="14"/>
      <c r="P790" s="6">
        <v>43190.59783564815</v>
      </c>
      <c r="Q790" s="15" t="s">
        <v>236</v>
      </c>
      <c r="R790" s="17" t="s">
        <v>237</v>
      </c>
      <c r="S790" s="11"/>
      <c r="T790" s="11"/>
      <c r="U790" s="10" t="str">
        <f>HYPERLINK("https://pbs.twimg.com/profile_images/1068881444196499456/MCgxp2WR.jpg","View")</f>
        <v>View</v>
      </c>
    </row>
    <row r="791" spans="1:21" ht="30.6">
      <c r="A791" s="6">
        <v>43440.661041666666</v>
      </c>
      <c r="B791" s="7" t="str">
        <f>HYPERLINK("https://twitter.com/taurino_astur","@taurino_astur")</f>
        <v>@taurino_astur</v>
      </c>
      <c r="C791" s="8" t="s">
        <v>2961</v>
      </c>
      <c r="D791" s="9" t="s">
        <v>2962</v>
      </c>
      <c r="E791" s="10" t="str">
        <f>HYPERLINK("https://twitter.com/taurino_astur/status/1070692313498832901","1070692313498832901")</f>
        <v>1070692313498832901</v>
      </c>
      <c r="F791" s="16" t="s">
        <v>2963</v>
      </c>
      <c r="G791" s="11"/>
      <c r="H791" s="11"/>
      <c r="I791" s="12">
        <v>0</v>
      </c>
      <c r="J791" s="12">
        <v>0</v>
      </c>
      <c r="K791" s="13" t="str">
        <f>HYPERLINK("http://twitter.com/download/iphone","Twitter for iPhone")</f>
        <v>Twitter for iPhone</v>
      </c>
      <c r="L791" s="12">
        <v>560</v>
      </c>
      <c r="M791" s="12">
        <v>1392</v>
      </c>
      <c r="N791" s="12">
        <v>3</v>
      </c>
      <c r="O791" s="14"/>
      <c r="P791" s="6">
        <v>41869.821643518517</v>
      </c>
      <c r="Q791" s="15" t="s">
        <v>2964</v>
      </c>
      <c r="R791" s="17" t="s">
        <v>2965</v>
      </c>
      <c r="S791" s="11"/>
      <c r="T791" s="11"/>
      <c r="U791" s="10" t="str">
        <f>HYPERLINK("https://pbs.twimg.com/profile_images/918389798984912896/qBoIYyTn.jpg","View")</f>
        <v>View</v>
      </c>
    </row>
    <row r="792" spans="1:21" ht="71.400000000000006">
      <c r="A792" s="6">
        <v>43440.659490740742</v>
      </c>
      <c r="B792" s="7" t="str">
        <f>HYPERLINK("https://twitter.com/TransUPM","@TransUPM")</f>
        <v>@TransUPM</v>
      </c>
      <c r="C792" s="8" t="s">
        <v>293</v>
      </c>
      <c r="D792" s="9" t="s">
        <v>2966</v>
      </c>
      <c r="E792" s="10" t="str">
        <f>HYPERLINK("https://twitter.com/TransUPM/status/1070691750585487360","1070691750585487360")</f>
        <v>1070691750585487360</v>
      </c>
      <c r="F792" s="16" t="s">
        <v>260</v>
      </c>
      <c r="G792" s="16" t="s">
        <v>261</v>
      </c>
      <c r="H792" s="11"/>
      <c r="I792" s="12">
        <v>0</v>
      </c>
      <c r="J792" s="12">
        <v>0</v>
      </c>
      <c r="K792" s="13" t="str">
        <f>HYPERLINK("http://twitter.com/#!/download/ipad","Twitter for iPad")</f>
        <v>Twitter for iPad</v>
      </c>
      <c r="L792" s="12">
        <v>742</v>
      </c>
      <c r="M792" s="12">
        <v>748</v>
      </c>
      <c r="N792" s="12">
        <v>25</v>
      </c>
      <c r="O792" s="14"/>
      <c r="P792" s="6">
        <v>40990.723449074074</v>
      </c>
      <c r="Q792" s="15" t="s">
        <v>296</v>
      </c>
      <c r="R792" s="17" t="s">
        <v>297</v>
      </c>
      <c r="S792" s="11"/>
      <c r="T792" s="11"/>
      <c r="U792" s="10" t="str">
        <f>HYPERLINK("https://pbs.twimg.com/profile_images/991114054189109250/998-LfOp.jpg","View")</f>
        <v>View</v>
      </c>
    </row>
    <row r="793" spans="1:21" ht="30.6">
      <c r="A793" s="6">
        <v>43440.658495370371</v>
      </c>
      <c r="B793" s="7" t="str">
        <f>HYPERLINK("https://twitter.com/ASRphotographer","@ASRphotographer")</f>
        <v>@ASRphotographer</v>
      </c>
      <c r="C793" s="8" t="s">
        <v>2463</v>
      </c>
      <c r="D793" s="9" t="s">
        <v>2967</v>
      </c>
      <c r="E793" s="10" t="str">
        <f>HYPERLINK("https://twitter.com/ASRphotographer/status/1070691391452430339","1070691391452430339")</f>
        <v>1070691391452430339</v>
      </c>
      <c r="F793" s="15" t="s">
        <v>2968</v>
      </c>
      <c r="G793" s="16" t="s">
        <v>2969</v>
      </c>
      <c r="H793" s="11"/>
      <c r="I793" s="12">
        <v>0</v>
      </c>
      <c r="J793" s="12">
        <v>0</v>
      </c>
      <c r="K793" s="13" t="str">
        <f>HYPERLINK("http://twitter.com/download/iphone","Twitter for iPhone")</f>
        <v>Twitter for iPhone</v>
      </c>
      <c r="L793" s="12">
        <v>921</v>
      </c>
      <c r="M793" s="12">
        <v>480</v>
      </c>
      <c r="N793" s="12">
        <v>26</v>
      </c>
      <c r="O793" s="14"/>
      <c r="P793" s="6">
        <v>40831.883402777778</v>
      </c>
      <c r="Q793" s="15" t="s">
        <v>612</v>
      </c>
      <c r="R793" s="17" t="s">
        <v>2465</v>
      </c>
      <c r="S793" s="11"/>
      <c r="T793" s="11"/>
      <c r="U793" s="10" t="str">
        <f>HYPERLINK("https://pbs.twimg.com/profile_images/1053303274894430208/EEEfljQI.jpg","View")</f>
        <v>View</v>
      </c>
    </row>
    <row r="794" spans="1:21" ht="51">
      <c r="A794" s="6">
        <v>43440.65730324074</v>
      </c>
      <c r="B794" s="7" t="str">
        <f>HYPERLINK("https://twitter.com/rubendgu","@rubendgu")</f>
        <v>@rubendgu</v>
      </c>
      <c r="C794" s="8" t="s">
        <v>2970</v>
      </c>
      <c r="D794" s="9" t="s">
        <v>2971</v>
      </c>
      <c r="E794" s="10" t="str">
        <f>HYPERLINK("https://twitter.com/rubendgu/status/1070690958608687104","1070690958608687104")</f>
        <v>1070690958608687104</v>
      </c>
      <c r="F794" s="16" t="s">
        <v>772</v>
      </c>
      <c r="G794" s="11"/>
      <c r="H794" s="11"/>
      <c r="I794" s="12">
        <v>0</v>
      </c>
      <c r="J794" s="12">
        <v>2</v>
      </c>
      <c r="K794" s="13" t="str">
        <f>HYPERLINK("http://twitter.com","Twitter Web Client")</f>
        <v>Twitter Web Client</v>
      </c>
      <c r="L794" s="12">
        <v>2594</v>
      </c>
      <c r="M794" s="12">
        <v>4987</v>
      </c>
      <c r="N794" s="12">
        <v>50</v>
      </c>
      <c r="O794" s="14"/>
      <c r="P794" s="6">
        <v>40182.811284722222</v>
      </c>
      <c r="Q794" s="15" t="s">
        <v>612</v>
      </c>
      <c r="R794" s="17" t="s">
        <v>2972</v>
      </c>
      <c r="S794" s="11"/>
      <c r="T794" s="11"/>
      <c r="U794" s="10" t="str">
        <f>HYPERLINK("https://pbs.twimg.com/profile_images/815857484048973824/148feHHX.jpg","View")</f>
        <v>View</v>
      </c>
    </row>
    <row r="795" spans="1:21" ht="30.6">
      <c r="A795" s="6">
        <v>43440.653865740736</v>
      </c>
      <c r="B795" s="7" t="str">
        <f t="shared" ref="B795:B796" si="186">HYPERLINK("https://twitter.com/GemaColomo10","@GemaColomo10")</f>
        <v>@GemaColomo10</v>
      </c>
      <c r="C795" s="8" t="s">
        <v>2973</v>
      </c>
      <c r="D795" s="9" t="s">
        <v>2974</v>
      </c>
      <c r="E795" s="10" t="str">
        <f>HYPERLINK("https://twitter.com/GemaColomo10/status/1070689713995030534","1070689713995030534")</f>
        <v>1070689713995030534</v>
      </c>
      <c r="F795" s="11"/>
      <c r="G795" s="16" t="s">
        <v>2975</v>
      </c>
      <c r="H795" s="11"/>
      <c r="I795" s="12">
        <v>0</v>
      </c>
      <c r="J795" s="12">
        <v>0</v>
      </c>
      <c r="K795" s="13" t="str">
        <f t="shared" ref="K795:K796" si="187">HYPERLINK("http://twitter.com/download/android","Twitter for Android")</f>
        <v>Twitter for Android</v>
      </c>
      <c r="L795" s="12">
        <v>1340</v>
      </c>
      <c r="M795" s="12">
        <v>1312</v>
      </c>
      <c r="N795" s="12">
        <v>20</v>
      </c>
      <c r="O795" s="14"/>
      <c r="P795" s="6">
        <v>40499.41642361111</v>
      </c>
      <c r="Q795" s="15" t="s">
        <v>2976</v>
      </c>
      <c r="R795" s="17" t="s">
        <v>2977</v>
      </c>
      <c r="S795" s="16" t="s">
        <v>2978</v>
      </c>
      <c r="T795" s="11"/>
      <c r="U795" s="10" t="str">
        <f t="shared" ref="U795:U796" si="188">HYPERLINK("https://pbs.twimg.com/profile_images/614352267634982912/nnikN1np.jpg","View")</f>
        <v>View</v>
      </c>
    </row>
    <row r="796" spans="1:21" ht="30.6">
      <c r="A796" s="6">
        <v>43440.65320601852</v>
      </c>
      <c r="B796" s="7" t="str">
        <f t="shared" si="186"/>
        <v>@GemaColomo10</v>
      </c>
      <c r="C796" s="8" t="s">
        <v>2973</v>
      </c>
      <c r="D796" s="9" t="s">
        <v>2979</v>
      </c>
      <c r="E796" s="10" t="str">
        <f>HYPERLINK("https://twitter.com/GemaColomo10/status/1070689474009550848","1070689474009550848")</f>
        <v>1070689474009550848</v>
      </c>
      <c r="F796" s="11"/>
      <c r="G796" s="16" t="s">
        <v>2980</v>
      </c>
      <c r="H796" s="11"/>
      <c r="I796" s="12">
        <v>0</v>
      </c>
      <c r="J796" s="12">
        <v>0</v>
      </c>
      <c r="K796" s="13" t="str">
        <f t="shared" si="187"/>
        <v>Twitter for Android</v>
      </c>
      <c r="L796" s="12">
        <v>1340</v>
      </c>
      <c r="M796" s="12">
        <v>1312</v>
      </c>
      <c r="N796" s="12">
        <v>20</v>
      </c>
      <c r="O796" s="14"/>
      <c r="P796" s="6">
        <v>40499.41642361111</v>
      </c>
      <c r="Q796" s="15" t="s">
        <v>2976</v>
      </c>
      <c r="R796" s="17" t="s">
        <v>2977</v>
      </c>
      <c r="S796" s="16" t="s">
        <v>2978</v>
      </c>
      <c r="T796" s="11"/>
      <c r="U796" s="10" t="str">
        <f t="shared" si="188"/>
        <v>View</v>
      </c>
    </row>
    <row r="797" spans="1:21" ht="51">
      <c r="A797" s="6">
        <v>43440.651238425926</v>
      </c>
      <c r="B797" s="7" t="str">
        <f>HYPERLINK("https://twitter.com/jesusblase","@jesusblase")</f>
        <v>@jesusblase</v>
      </c>
      <c r="C797" s="8" t="s">
        <v>2981</v>
      </c>
      <c r="D797" s="9" t="s">
        <v>2982</v>
      </c>
      <c r="E797" s="10" t="str">
        <f>HYPERLINK("https://twitter.com/jesusblase/status/1070688761950978048","1070688761950978048")</f>
        <v>1070688761950978048</v>
      </c>
      <c r="F797" s="11"/>
      <c r="G797" s="16" t="s">
        <v>2983</v>
      </c>
      <c r="H797" s="11"/>
      <c r="I797" s="12">
        <v>0</v>
      </c>
      <c r="J797" s="12">
        <v>1</v>
      </c>
      <c r="K797" s="13" t="str">
        <f>HYPERLINK("http://twitter.com","Twitter Web Client")</f>
        <v>Twitter Web Client</v>
      </c>
      <c r="L797" s="12">
        <v>227</v>
      </c>
      <c r="M797" s="12">
        <v>680</v>
      </c>
      <c r="N797" s="12">
        <v>3</v>
      </c>
      <c r="O797" s="14"/>
      <c r="P797" s="6">
        <v>41209.931770833333</v>
      </c>
      <c r="Q797" s="15" t="s">
        <v>2984</v>
      </c>
      <c r="R797" s="17" t="s">
        <v>2985</v>
      </c>
      <c r="S797" s="11"/>
      <c r="T797" s="11"/>
      <c r="U797" s="10" t="str">
        <f>HYPERLINK("https://pbs.twimg.com/profile_images/935968491055796225/j8Gd9Pr3.jpg","View")</f>
        <v>View</v>
      </c>
    </row>
    <row r="798" spans="1:21" ht="20.399999999999999">
      <c r="A798" s="6">
        <v>43440.651145833333</v>
      </c>
      <c r="B798" s="7" t="str">
        <f>HYPERLINK("https://twitter.com/negativo_stats","@negativo_stats")</f>
        <v>@negativo_stats</v>
      </c>
      <c r="C798" s="8" t="s">
        <v>182</v>
      </c>
      <c r="D798" s="9" t="s">
        <v>183</v>
      </c>
      <c r="E798" s="10" t="str">
        <f>HYPERLINK("https://twitter.com/negativo_stats/status/1070688725531811841","1070688725531811841")</f>
        <v>1070688725531811841</v>
      </c>
      <c r="F798" s="11"/>
      <c r="G798" s="16" t="s">
        <v>2986</v>
      </c>
      <c r="H798" s="11"/>
      <c r="I798" s="12">
        <v>0</v>
      </c>
      <c r="J798" s="12">
        <v>0</v>
      </c>
      <c r="K798" s="13" t="str">
        <f>HYPERLINK("http://kosmonautica.es","Política Negativa")</f>
        <v>Política Negativa</v>
      </c>
      <c r="L798" s="12">
        <v>268</v>
      </c>
      <c r="M798" s="12">
        <v>788</v>
      </c>
      <c r="N798" s="12">
        <v>2</v>
      </c>
      <c r="O798" s="14"/>
      <c r="P798" s="6">
        <v>42171.770601851851</v>
      </c>
      <c r="Q798" s="15" t="s">
        <v>185</v>
      </c>
      <c r="R798" s="17" t="s">
        <v>186</v>
      </c>
      <c r="S798" s="11"/>
      <c r="T798" s="11"/>
      <c r="U798" s="10" t="str">
        <f>HYPERLINK("https://pbs.twimg.com/profile_images/628553625984438272/e-VHyhP1.png","View")</f>
        <v>View</v>
      </c>
    </row>
    <row r="799" spans="1:21" ht="81.599999999999994">
      <c r="A799" s="6">
        <v>43440.650601851856</v>
      </c>
      <c r="B799" s="7" t="str">
        <f>HYPERLINK("https://twitter.com/MaraCAmor","@MaraCAmor")</f>
        <v>@MaraCAmor</v>
      </c>
      <c r="C799" s="8" t="s">
        <v>1723</v>
      </c>
      <c r="D799" s="9" t="s">
        <v>2987</v>
      </c>
      <c r="E799" s="10" t="str">
        <f>HYPERLINK("https://twitter.com/MaraCAmor/status/1070688530265968640","1070688530265968640")</f>
        <v>1070688530265968640</v>
      </c>
      <c r="F799" s="16" t="s">
        <v>2988</v>
      </c>
      <c r="G799" s="16" t="s">
        <v>2989</v>
      </c>
      <c r="H799" s="11"/>
      <c r="I799" s="12">
        <v>0</v>
      </c>
      <c r="J799" s="12">
        <v>3</v>
      </c>
      <c r="K799" s="13" t="str">
        <f t="shared" ref="K799:K800" si="189">HYPERLINK("http://twitter.com","Twitter Web Client")</f>
        <v>Twitter Web Client</v>
      </c>
      <c r="L799" s="12">
        <v>9739</v>
      </c>
      <c r="M799" s="12">
        <v>4007</v>
      </c>
      <c r="N799" s="12">
        <v>122</v>
      </c>
      <c r="O799" s="14"/>
      <c r="P799" s="6">
        <v>40588.909803240742</v>
      </c>
      <c r="Q799" s="15" t="s">
        <v>1725</v>
      </c>
      <c r="R799" s="17" t="s">
        <v>1726</v>
      </c>
      <c r="S799" s="16" t="s">
        <v>1727</v>
      </c>
      <c r="T799" s="11"/>
      <c r="U799" s="10" t="str">
        <f>HYPERLINK("https://pbs.twimg.com/profile_images/1068943105502732288/Qqhtw7cl.jpg","View")</f>
        <v>View</v>
      </c>
    </row>
    <row r="800" spans="1:21" ht="30.6">
      <c r="A800" s="6">
        <v>43440.64916666667</v>
      </c>
      <c r="B800" s="7" t="str">
        <f>HYPERLINK("https://twitter.com/pgargor","@pgargor")</f>
        <v>@pgargor</v>
      </c>
      <c r="C800" s="8" t="s">
        <v>2990</v>
      </c>
      <c r="D800" s="9" t="s">
        <v>2991</v>
      </c>
      <c r="E800" s="10" t="str">
        <f>HYPERLINK("https://twitter.com/pgargor/status/1070688011329945600","1070688011329945600")</f>
        <v>1070688011329945600</v>
      </c>
      <c r="F800" s="16" t="s">
        <v>2992</v>
      </c>
      <c r="G800" s="11"/>
      <c r="H800" s="11"/>
      <c r="I800" s="12">
        <v>0</v>
      </c>
      <c r="J800" s="12">
        <v>0</v>
      </c>
      <c r="K800" s="13" t="str">
        <f t="shared" si="189"/>
        <v>Twitter Web Client</v>
      </c>
      <c r="L800" s="12">
        <v>32</v>
      </c>
      <c r="M800" s="12">
        <v>65</v>
      </c>
      <c r="N800" s="12">
        <v>0</v>
      </c>
      <c r="O800" s="14"/>
      <c r="P800" s="6">
        <v>40867.747881944444</v>
      </c>
      <c r="Q800" s="11"/>
      <c r="R800" s="18"/>
      <c r="S800" s="11"/>
      <c r="T800" s="11"/>
      <c r="U800" s="10" t="str">
        <f>HYPERLINK("https://pbs.twimg.com/profile_images/726415625774596096/B5UUSNMh.jpg","View")</f>
        <v>View</v>
      </c>
    </row>
    <row r="801" spans="1:21" ht="40.799999999999997">
      <c r="A801" s="6">
        <v>43440.647129629629</v>
      </c>
      <c r="B801" s="7" t="str">
        <f>HYPERLINK("https://twitter.com/0Realista3","@0Realista3")</f>
        <v>@0Realista3</v>
      </c>
      <c r="C801" s="8" t="s">
        <v>471</v>
      </c>
      <c r="D801" s="9" t="s">
        <v>2993</v>
      </c>
      <c r="E801" s="10" t="str">
        <f>HYPERLINK("https://twitter.com/0Realista3/status/1070687269902839808","1070687269902839808")</f>
        <v>1070687269902839808</v>
      </c>
      <c r="F801" s="11"/>
      <c r="G801" s="11"/>
      <c r="H801" s="11"/>
      <c r="I801" s="12">
        <v>0</v>
      </c>
      <c r="J801" s="12">
        <v>1</v>
      </c>
      <c r="K801" s="13" t="str">
        <f>HYPERLINK("http://twitter.com/download/android","Twitter for Android")</f>
        <v>Twitter for Android</v>
      </c>
      <c r="L801" s="12">
        <v>142</v>
      </c>
      <c r="M801" s="12">
        <v>183</v>
      </c>
      <c r="N801" s="12">
        <v>4</v>
      </c>
      <c r="O801" s="14"/>
      <c r="P801" s="6">
        <v>43321.979270833333</v>
      </c>
      <c r="Q801" s="11"/>
      <c r="R801" s="18"/>
      <c r="S801" s="11"/>
      <c r="T801" s="11"/>
      <c r="U801" s="10" t="str">
        <f>HYPERLINK("https://pbs.twimg.com/profile_images/1027818317438959617/4exm99jw.jpg","View")</f>
        <v>View</v>
      </c>
    </row>
    <row r="802" spans="1:21" ht="30.6">
      <c r="A802" s="6">
        <v>43440.646863425922</v>
      </c>
      <c r="B802" s="7" t="str">
        <f>HYPERLINK("https://twitter.com/COPE","@COPE")</f>
        <v>@COPE</v>
      </c>
      <c r="C802" s="8" t="s">
        <v>1421</v>
      </c>
      <c r="D802" s="9" t="s">
        <v>2994</v>
      </c>
      <c r="E802" s="10" t="str">
        <f>HYPERLINK("https://twitter.com/COPE/status/1070687173031157760","1070687173031157760")</f>
        <v>1070687173031157760</v>
      </c>
      <c r="F802" s="16" t="s">
        <v>2995</v>
      </c>
      <c r="G802" s="11"/>
      <c r="H802" s="11"/>
      <c r="I802" s="12">
        <v>185</v>
      </c>
      <c r="J802" s="12">
        <v>373</v>
      </c>
      <c r="K802" s="13" t="str">
        <f>HYPERLINK("http://dogtrack.es","DogTrack_Oficial")</f>
        <v>DogTrack_Oficial</v>
      </c>
      <c r="L802" s="12">
        <v>354194</v>
      </c>
      <c r="M802" s="12">
        <v>150</v>
      </c>
      <c r="N802" s="12">
        <v>3095</v>
      </c>
      <c r="O802" s="23" t="s">
        <v>89</v>
      </c>
      <c r="P802" s="6">
        <v>39381.538321759261</v>
      </c>
      <c r="Q802" s="15" t="s">
        <v>185</v>
      </c>
      <c r="R802" s="17" t="s">
        <v>1424</v>
      </c>
      <c r="S802" s="16" t="s">
        <v>1425</v>
      </c>
      <c r="T802" s="11"/>
      <c r="U802" s="10" t="str">
        <f>HYPERLINK("https://pbs.twimg.com/profile_images/1063097716031533059/yAe1j-56.jpg","View")</f>
        <v>View</v>
      </c>
    </row>
    <row r="803" spans="1:21" ht="40.799999999999997">
      <c r="A803" s="6">
        <v>43440.645613425921</v>
      </c>
      <c r="B803" s="7" t="str">
        <f>HYPERLINK("https://twitter.com/memoloamimismo1","@memoloamimismo1")</f>
        <v>@memoloamimismo1</v>
      </c>
      <c r="C803" s="8" t="s">
        <v>2443</v>
      </c>
      <c r="D803" s="9" t="s">
        <v>2996</v>
      </c>
      <c r="E803" s="10" t="str">
        <f>HYPERLINK("https://twitter.com/memoloamimismo1/status/1070686721409466370","1070686721409466370")</f>
        <v>1070686721409466370</v>
      </c>
      <c r="F803" s="11"/>
      <c r="G803" s="16" t="s">
        <v>2997</v>
      </c>
      <c r="H803" s="11"/>
      <c r="I803" s="12">
        <v>0</v>
      </c>
      <c r="J803" s="12">
        <v>0</v>
      </c>
      <c r="K803" s="13" t="str">
        <f t="shared" ref="K803:K805" si="190">HYPERLINK("http://twitter.com/download/android","Twitter for Android")</f>
        <v>Twitter for Android</v>
      </c>
      <c r="L803" s="12">
        <v>254</v>
      </c>
      <c r="M803" s="12">
        <v>196</v>
      </c>
      <c r="N803" s="12">
        <v>1</v>
      </c>
      <c r="O803" s="14"/>
      <c r="P803" s="6">
        <v>40949.509699074071</v>
      </c>
      <c r="Q803" s="15" t="s">
        <v>2446</v>
      </c>
      <c r="R803" s="17" t="s">
        <v>2447</v>
      </c>
      <c r="S803" s="11"/>
      <c r="T803" s="11"/>
      <c r="U803" s="10" t="str">
        <f>HYPERLINK("https://pbs.twimg.com/profile_images/1069668803922006016/K8krNDUM.jpg","View")</f>
        <v>View</v>
      </c>
    </row>
    <row r="804" spans="1:21" ht="61.2">
      <c r="A804" s="6">
        <v>43440.643587962964</v>
      </c>
      <c r="B804" s="7" t="str">
        <f>HYPERLINK("https://twitter.com/GreenNavas","@GreenNavas")</f>
        <v>@GreenNavas</v>
      </c>
      <c r="C804" s="8" t="s">
        <v>2503</v>
      </c>
      <c r="D804" s="9" t="s">
        <v>2999</v>
      </c>
      <c r="E804" s="10" t="str">
        <f>HYPERLINK("https://twitter.com/GreenNavas/status/1070685988370944000","1070685988370944000")</f>
        <v>1070685988370944000</v>
      </c>
      <c r="F804" s="15" t="s">
        <v>1001</v>
      </c>
      <c r="G804" s="16" t="s">
        <v>1002</v>
      </c>
      <c r="H804" s="11"/>
      <c r="I804" s="12">
        <v>0</v>
      </c>
      <c r="J804" s="12">
        <v>0</v>
      </c>
      <c r="K804" s="13" t="str">
        <f t="shared" si="190"/>
        <v>Twitter for Android</v>
      </c>
      <c r="L804" s="12">
        <v>1982</v>
      </c>
      <c r="M804" s="12">
        <v>300</v>
      </c>
      <c r="N804" s="12">
        <v>40</v>
      </c>
      <c r="O804" s="14"/>
      <c r="P804" s="6">
        <v>41141.842557870368</v>
      </c>
      <c r="Q804" s="15" t="s">
        <v>3001</v>
      </c>
      <c r="R804" s="17" t="s">
        <v>3002</v>
      </c>
      <c r="S804" s="16" t="s">
        <v>3003</v>
      </c>
      <c r="T804" s="11"/>
      <c r="U804" s="10" t="str">
        <f>HYPERLINK("https://pbs.twimg.com/profile_images/885424291491217408/4mCsH-Gs.jpg","View")</f>
        <v>View</v>
      </c>
    </row>
    <row r="805" spans="1:21" ht="61.2">
      <c r="A805" s="6">
        <v>43440.642534722225</v>
      </c>
      <c r="B805" s="7" t="str">
        <f>HYPERLINK("https://twitter.com/UlisesGamez10","@UlisesGamez10")</f>
        <v>@UlisesGamez10</v>
      </c>
      <c r="C805" s="8" t="s">
        <v>233</v>
      </c>
      <c r="D805" s="9" t="s">
        <v>3004</v>
      </c>
      <c r="E805" s="10" t="str">
        <f>HYPERLINK("https://twitter.com/UlisesGamez10/status/1070685604340482053","1070685604340482053")</f>
        <v>1070685604340482053</v>
      </c>
      <c r="F805" s="11"/>
      <c r="G805" s="16" t="s">
        <v>3005</v>
      </c>
      <c r="H805" s="11"/>
      <c r="I805" s="12">
        <v>0</v>
      </c>
      <c r="J805" s="12">
        <v>0</v>
      </c>
      <c r="K805" s="13" t="str">
        <f t="shared" si="190"/>
        <v>Twitter for Android</v>
      </c>
      <c r="L805" s="12">
        <v>1184</v>
      </c>
      <c r="M805" s="12">
        <v>5002</v>
      </c>
      <c r="N805" s="12">
        <v>0</v>
      </c>
      <c r="O805" s="14"/>
      <c r="P805" s="6">
        <v>43190.59783564815</v>
      </c>
      <c r="Q805" s="15" t="s">
        <v>236</v>
      </c>
      <c r="R805" s="17" t="s">
        <v>237</v>
      </c>
      <c r="S805" s="11"/>
      <c r="T805" s="11"/>
      <c r="U805" s="10" t="str">
        <f>HYPERLINK("https://pbs.twimg.com/profile_images/1068881444196499456/MCgxp2WR.jpg","View")</f>
        <v>View</v>
      </c>
    </row>
    <row r="806" spans="1:21" ht="30.6">
      <c r="A806" s="6">
        <v>43440.642106481479</v>
      </c>
      <c r="B806" s="7" t="str">
        <f>HYPERLINK("https://twitter.com/ismalva10","@ismalva10")</f>
        <v>@ismalva10</v>
      </c>
      <c r="C806" s="8" t="s">
        <v>3006</v>
      </c>
      <c r="D806" s="9" t="s">
        <v>3007</v>
      </c>
      <c r="E806" s="10" t="str">
        <f>HYPERLINK("https://twitter.com/ismalva10/status/1070685449562308608","1070685449562308608")</f>
        <v>1070685449562308608</v>
      </c>
      <c r="F806" s="11"/>
      <c r="G806" s="11"/>
      <c r="H806" s="11"/>
      <c r="I806" s="12">
        <v>2</v>
      </c>
      <c r="J806" s="12">
        <v>4</v>
      </c>
      <c r="K806" s="13" t="str">
        <f>HYPERLINK("http://twitter.com/download/iphone","Twitter for iPhone")</f>
        <v>Twitter for iPhone</v>
      </c>
      <c r="L806" s="12">
        <v>1329</v>
      </c>
      <c r="M806" s="12">
        <v>897</v>
      </c>
      <c r="N806" s="12">
        <v>12</v>
      </c>
      <c r="O806" s="14"/>
      <c r="P806" s="6">
        <v>40882.556990740741</v>
      </c>
      <c r="Q806" s="15" t="s">
        <v>3008</v>
      </c>
      <c r="R806" s="17" t="s">
        <v>3009</v>
      </c>
      <c r="S806" s="11"/>
      <c r="T806" s="11"/>
      <c r="U806" s="10" t="str">
        <f>HYPERLINK("https://pbs.twimg.com/profile_images/960826096693469184/Ar_x4fnU.jpg","View")</f>
        <v>View</v>
      </c>
    </row>
    <row r="807" spans="1:21" ht="40.799999999999997">
      <c r="A807" s="6">
        <v>43440.640324074076</v>
      </c>
      <c r="B807" s="7" t="str">
        <f>HYPERLINK("https://twitter.com/CarolinaECardon","@CarolinaECardon")</f>
        <v>@CarolinaECardon</v>
      </c>
      <c r="C807" s="8" t="s">
        <v>2450</v>
      </c>
      <c r="D807" s="9" t="s">
        <v>3010</v>
      </c>
      <c r="E807" s="10" t="str">
        <f>HYPERLINK("https://twitter.com/CarolinaECardon/status/1070684806294441985","1070684806294441985")</f>
        <v>1070684806294441985</v>
      </c>
      <c r="F807" s="15" t="s">
        <v>2514</v>
      </c>
      <c r="G807" s="11"/>
      <c r="H807" s="11"/>
      <c r="I807" s="12">
        <v>0</v>
      </c>
      <c r="J807" s="12">
        <v>0</v>
      </c>
      <c r="K807" s="13" t="str">
        <f>HYPERLINK("http://twitter.com/download/android","Twitter for Android")</f>
        <v>Twitter for Android</v>
      </c>
      <c r="L807" s="12">
        <v>1115</v>
      </c>
      <c r="M807" s="12">
        <v>1318</v>
      </c>
      <c r="N807" s="12">
        <v>38</v>
      </c>
      <c r="O807" s="14"/>
      <c r="P807" s="6">
        <v>41538.922210648147</v>
      </c>
      <c r="Q807" s="15" t="s">
        <v>612</v>
      </c>
      <c r="R807" s="17" t="s">
        <v>2452</v>
      </c>
      <c r="S807" s="11"/>
      <c r="T807" s="11"/>
      <c r="U807" s="10" t="str">
        <f>HYPERLINK("https://pbs.twimg.com/profile_images/1008582926487998464/jrAt2bqh.jpg","View")</f>
        <v>View</v>
      </c>
    </row>
    <row r="808" spans="1:21" ht="51">
      <c r="A808" s="6">
        <v>43440.639780092592</v>
      </c>
      <c r="B808" s="7" t="str">
        <f>HYPERLINK("https://twitter.com/Apreslapluie70","@Apreslapluie70")</f>
        <v>@Apreslapluie70</v>
      </c>
      <c r="C808" s="8" t="s">
        <v>3011</v>
      </c>
      <c r="D808" s="9" t="s">
        <v>3012</v>
      </c>
      <c r="E808" s="10" t="str">
        <f>HYPERLINK("https://twitter.com/Apreslapluie70/status/1070684609552310273","1070684609552310273")</f>
        <v>1070684609552310273</v>
      </c>
      <c r="F808" s="11"/>
      <c r="G808" s="11"/>
      <c r="H808" s="11"/>
      <c r="I808" s="12">
        <v>1</v>
      </c>
      <c r="J808" s="12">
        <v>3</v>
      </c>
      <c r="K808" s="13" t="str">
        <f t="shared" ref="K808:K809" si="191">HYPERLINK("http://twitter.com","Twitter Web Client")</f>
        <v>Twitter Web Client</v>
      </c>
      <c r="L808" s="12">
        <v>202</v>
      </c>
      <c r="M808" s="12">
        <v>165</v>
      </c>
      <c r="N808" s="12">
        <v>3</v>
      </c>
      <c r="O808" s="14"/>
      <c r="P808" s="6">
        <v>42791.431863425925</v>
      </c>
      <c r="Q808" s="15" t="s">
        <v>1371</v>
      </c>
      <c r="R808" s="17" t="s">
        <v>3013</v>
      </c>
      <c r="S808" s="11"/>
      <c r="T808" s="11"/>
      <c r="U808" s="10" t="str">
        <f>HYPERLINK("https://pbs.twimg.com/profile_images/869827859002658816/_V8hkPkD.jpg","View")</f>
        <v>View</v>
      </c>
    </row>
    <row r="809" spans="1:21" ht="20.399999999999999">
      <c r="A809" s="6">
        <v>43440.63957175926</v>
      </c>
      <c r="B809" s="7" t="str">
        <f>HYPERLINK("https://twitter.com/fmembrilla","@fmembrilla")</f>
        <v>@fmembrilla</v>
      </c>
      <c r="C809" s="8" t="s">
        <v>3014</v>
      </c>
      <c r="D809" s="9" t="s">
        <v>777</v>
      </c>
      <c r="E809" s="10" t="str">
        <f>HYPERLINK("https://twitter.com/fmembrilla/status/1070684531546566657","1070684531546566657")</f>
        <v>1070684531546566657</v>
      </c>
      <c r="F809" s="16" t="s">
        <v>778</v>
      </c>
      <c r="G809" s="11"/>
      <c r="H809" s="11"/>
      <c r="I809" s="12">
        <v>0</v>
      </c>
      <c r="J809" s="12">
        <v>0</v>
      </c>
      <c r="K809" s="13" t="str">
        <f t="shared" si="191"/>
        <v>Twitter Web Client</v>
      </c>
      <c r="L809" s="12">
        <v>1090</v>
      </c>
      <c r="M809" s="12">
        <v>2063</v>
      </c>
      <c r="N809" s="12">
        <v>14</v>
      </c>
      <c r="O809" s="14"/>
      <c r="P809" s="6">
        <v>41249.590601851851</v>
      </c>
      <c r="Q809" s="15" t="s">
        <v>2263</v>
      </c>
      <c r="R809" s="17" t="s">
        <v>3015</v>
      </c>
      <c r="S809" s="11"/>
      <c r="T809" s="11"/>
      <c r="U809" s="10" t="str">
        <f>HYPERLINK("https://pbs.twimg.com/profile_images/3767830775/2bd8dcbb3b8ab6c20c8e4a0301556b19.jpeg","View")</f>
        <v>View</v>
      </c>
    </row>
    <row r="810" spans="1:21" ht="40.799999999999997">
      <c r="A810" s="6">
        <v>43440.634606481486</v>
      </c>
      <c r="B810" s="7" t="str">
        <f>HYPERLINK("https://twitter.com/AzoteCasta","@AzoteCasta")</f>
        <v>@AzoteCasta</v>
      </c>
      <c r="C810" s="8" t="s">
        <v>2820</v>
      </c>
      <c r="D810" s="9" t="s">
        <v>3016</v>
      </c>
      <c r="E810" s="10" t="str">
        <f>HYPERLINK("https://twitter.com/AzoteCasta/status/1070682732773167104","1070682732773167104")</f>
        <v>1070682732773167104</v>
      </c>
      <c r="F810" s="11"/>
      <c r="G810" s="16" t="s">
        <v>3017</v>
      </c>
      <c r="H810" s="11"/>
      <c r="I810" s="12">
        <v>5</v>
      </c>
      <c r="J810" s="12">
        <v>12</v>
      </c>
      <c r="K810" s="13" t="str">
        <f t="shared" ref="K810:K811" si="192">HYPERLINK("http://twitter.com/download/android","Twitter for Android")</f>
        <v>Twitter for Android</v>
      </c>
      <c r="L810" s="12">
        <v>3687</v>
      </c>
      <c r="M810" s="12">
        <v>2738</v>
      </c>
      <c r="N810" s="12">
        <v>64</v>
      </c>
      <c r="O810" s="14"/>
      <c r="P810" s="6">
        <v>41441.048819444448</v>
      </c>
      <c r="Q810" s="15" t="s">
        <v>197</v>
      </c>
      <c r="R810" s="17" t="s">
        <v>2823</v>
      </c>
      <c r="S810" s="11"/>
      <c r="T810" s="11"/>
      <c r="U810" s="10" t="str">
        <f>HYPERLINK("https://pbs.twimg.com/profile_images/1037474236691042309/9t-T1AZv.jpg","View")</f>
        <v>View</v>
      </c>
    </row>
    <row r="811" spans="1:21" ht="112.2">
      <c r="A811" s="6">
        <v>43440.628599537042</v>
      </c>
      <c r="B811" s="7" t="str">
        <f>HYPERLINK("https://twitter.com/UriCAT84","@UriCAT84")</f>
        <v>@UriCAT84</v>
      </c>
      <c r="C811" s="8" t="s">
        <v>135</v>
      </c>
      <c r="D811" s="9" t="s">
        <v>3018</v>
      </c>
      <c r="E811" s="10" t="str">
        <f>HYPERLINK("https://twitter.com/UriCAT84/status/1070680557502283777","1070680557502283777")</f>
        <v>1070680557502283777</v>
      </c>
      <c r="F811" s="16" t="s">
        <v>137</v>
      </c>
      <c r="G811" s="16" t="s">
        <v>138</v>
      </c>
      <c r="H811" s="11"/>
      <c r="I811" s="12">
        <v>0</v>
      </c>
      <c r="J811" s="12">
        <v>0</v>
      </c>
      <c r="K811" s="13" t="str">
        <f t="shared" si="192"/>
        <v>Twitter for Android</v>
      </c>
      <c r="L811" s="12">
        <v>1229</v>
      </c>
      <c r="M811" s="12">
        <v>2065</v>
      </c>
      <c r="N811" s="12">
        <v>0</v>
      </c>
      <c r="O811" s="14"/>
      <c r="P811" s="6">
        <v>40701.65960648148</v>
      </c>
      <c r="Q811" s="11"/>
      <c r="R811" s="18"/>
      <c r="S811" s="11"/>
      <c r="T811" s="11"/>
      <c r="U811" s="10" t="str">
        <f>HYPERLINK("https://pbs.twimg.com/profile_images/915586738516561920/C960_H5-.jpg","View")</f>
        <v>View</v>
      </c>
    </row>
    <row r="812" spans="1:21" ht="51">
      <c r="A812" s="6">
        <v>43440.625613425931</v>
      </c>
      <c r="B812" s="7" t="str">
        <f>HYPERLINK("https://twitter.com/usingneurons","@usingneurons")</f>
        <v>@usingneurons</v>
      </c>
      <c r="C812" s="8" t="s">
        <v>3019</v>
      </c>
      <c r="D812" s="9" t="s">
        <v>3020</v>
      </c>
      <c r="E812" s="10" t="str">
        <f>HYPERLINK("https://twitter.com/usingneurons/status/1070679472905564160","1070679472905564160")</f>
        <v>1070679472905564160</v>
      </c>
      <c r="F812" s="11"/>
      <c r="G812" s="11"/>
      <c r="H812" s="11"/>
      <c r="I812" s="12">
        <v>1</v>
      </c>
      <c r="J812" s="12">
        <v>0</v>
      </c>
      <c r="K812" s="13" t="str">
        <f>HYPERLINK("http://twitter.com","Twitter Web Client")</f>
        <v>Twitter Web Client</v>
      </c>
      <c r="L812" s="12">
        <v>927</v>
      </c>
      <c r="M812" s="12">
        <v>901</v>
      </c>
      <c r="N812" s="12">
        <v>21</v>
      </c>
      <c r="O812" s="14"/>
      <c r="P812" s="6">
        <v>41781.782407407409</v>
      </c>
      <c r="Q812" s="11"/>
      <c r="R812" s="17" t="s">
        <v>3021</v>
      </c>
      <c r="S812" s="11"/>
      <c r="T812" s="11"/>
      <c r="U812" s="10" t="str">
        <f>HYPERLINK("https://pbs.twimg.com/profile_images/497787841733066752/jnJEf2Rm.jpeg","View")</f>
        <v>View</v>
      </c>
    </row>
    <row r="813" spans="1:21" ht="61.2">
      <c r="A813" s="6">
        <v>43440.622708333336</v>
      </c>
      <c r="B813" s="7" t="str">
        <f>HYPERLINK("https://twitter.com/UlisesGamez10","@UlisesGamez10")</f>
        <v>@UlisesGamez10</v>
      </c>
      <c r="C813" s="8" t="s">
        <v>233</v>
      </c>
      <c r="D813" s="9" t="s">
        <v>3022</v>
      </c>
      <c r="E813" s="10" t="str">
        <f>HYPERLINK("https://twitter.com/UlisesGamez10/status/1070678420542144512","1070678420542144512")</f>
        <v>1070678420542144512</v>
      </c>
      <c r="F813" s="11"/>
      <c r="G813" s="16" t="s">
        <v>3023</v>
      </c>
      <c r="H813" s="11"/>
      <c r="I813" s="12">
        <v>0</v>
      </c>
      <c r="J813" s="12">
        <v>0</v>
      </c>
      <c r="K813" s="13" t="str">
        <f t="shared" ref="K813:K819" si="193">HYPERLINK("http://twitter.com/download/android","Twitter for Android")</f>
        <v>Twitter for Android</v>
      </c>
      <c r="L813" s="12">
        <v>1184</v>
      </c>
      <c r="M813" s="12">
        <v>5002</v>
      </c>
      <c r="N813" s="12">
        <v>0</v>
      </c>
      <c r="O813" s="14"/>
      <c r="P813" s="6">
        <v>43190.59783564815</v>
      </c>
      <c r="Q813" s="15" t="s">
        <v>236</v>
      </c>
      <c r="R813" s="17" t="s">
        <v>237</v>
      </c>
      <c r="S813" s="11"/>
      <c r="T813" s="11"/>
      <c r="U813" s="10" t="str">
        <f>HYPERLINK("https://pbs.twimg.com/profile_images/1068881444196499456/MCgxp2WR.jpg","View")</f>
        <v>View</v>
      </c>
    </row>
    <row r="814" spans="1:21" ht="51">
      <c r="A814" s="6">
        <v>43440.622465277775</v>
      </c>
      <c r="B814" s="7" t="str">
        <f>HYPERLINK("https://twitter.com/AFRKN_","@AFRKN_")</f>
        <v>@AFRKN_</v>
      </c>
      <c r="C814" s="8" t="s">
        <v>3024</v>
      </c>
      <c r="D814" s="9" t="s">
        <v>3025</v>
      </c>
      <c r="E814" s="10" t="str">
        <f>HYPERLINK("https://twitter.com/AFRKN_/status/1070678333438988289","1070678333438988289")</f>
        <v>1070678333438988289</v>
      </c>
      <c r="F814" s="16" t="s">
        <v>482</v>
      </c>
      <c r="G814" s="11"/>
      <c r="H814" s="11"/>
      <c r="I814" s="12">
        <v>0</v>
      </c>
      <c r="J814" s="12">
        <v>2</v>
      </c>
      <c r="K814" s="13" t="str">
        <f t="shared" si="193"/>
        <v>Twitter for Android</v>
      </c>
      <c r="L814" s="12">
        <v>1101</v>
      </c>
      <c r="M814" s="12">
        <v>199</v>
      </c>
      <c r="N814" s="12">
        <v>32</v>
      </c>
      <c r="O814" s="14"/>
      <c r="P814" s="6">
        <v>41987.81585648148</v>
      </c>
      <c r="Q814" s="15" t="s">
        <v>3026</v>
      </c>
      <c r="R814" s="17" t="s">
        <v>3027</v>
      </c>
      <c r="S814" s="16" t="s">
        <v>3028</v>
      </c>
      <c r="T814" s="11"/>
      <c r="U814" s="10" t="str">
        <f>HYPERLINK("https://pbs.twimg.com/profile_images/930908103440203776/of2DOMEc.jpg","View")</f>
        <v>View</v>
      </c>
    </row>
    <row r="815" spans="1:21" ht="30.6">
      <c r="A815" s="6">
        <v>43440.621701388889</v>
      </c>
      <c r="B815" s="7" t="str">
        <f>HYPERLINK("https://twitter.com/diario_realidad","@diario_realidad")</f>
        <v>@diario_realidad</v>
      </c>
      <c r="C815" s="8" t="s">
        <v>3029</v>
      </c>
      <c r="D815" s="9" t="s">
        <v>3030</v>
      </c>
      <c r="E815" s="10" t="str">
        <f>HYPERLINK("https://twitter.com/diario_realidad/status/1070678055788703746","1070678055788703746")</f>
        <v>1070678055788703746</v>
      </c>
      <c r="F815" s="11"/>
      <c r="G815" s="16" t="s">
        <v>3031</v>
      </c>
      <c r="H815" s="11"/>
      <c r="I815" s="12">
        <v>0</v>
      </c>
      <c r="J815" s="12">
        <v>0</v>
      </c>
      <c r="K815" s="13" t="str">
        <f t="shared" si="193"/>
        <v>Twitter for Android</v>
      </c>
      <c r="L815" s="12">
        <v>758</v>
      </c>
      <c r="M815" s="12">
        <v>556</v>
      </c>
      <c r="N815" s="12">
        <v>1</v>
      </c>
      <c r="O815" s="14"/>
      <c r="P815" s="6">
        <v>43078.653113425928</v>
      </c>
      <c r="Q815" s="15" t="s">
        <v>3032</v>
      </c>
      <c r="R815" s="17" t="s">
        <v>3033</v>
      </c>
      <c r="S815" s="16" t="s">
        <v>3034</v>
      </c>
      <c r="T815" s="11"/>
      <c r="U815" s="10" t="str">
        <f>HYPERLINK("https://pbs.twimg.com/profile_images/939631926234796033/I1WLJkrl.jpg","View")</f>
        <v>View</v>
      </c>
    </row>
    <row r="816" spans="1:21" ht="61.2">
      <c r="A816" s="6">
        <v>43440.619814814811</v>
      </c>
      <c r="B816" s="7" t="str">
        <f>HYPERLINK("https://twitter.com/UlisesGamez10","@UlisesGamez10")</f>
        <v>@UlisesGamez10</v>
      </c>
      <c r="C816" s="8" t="s">
        <v>233</v>
      </c>
      <c r="D816" s="9" t="s">
        <v>3035</v>
      </c>
      <c r="E816" s="10" t="str">
        <f>HYPERLINK("https://twitter.com/UlisesGamez10/status/1070677371349549056","1070677371349549056")</f>
        <v>1070677371349549056</v>
      </c>
      <c r="F816" s="11"/>
      <c r="G816" s="16" t="s">
        <v>3036</v>
      </c>
      <c r="H816" s="11"/>
      <c r="I816" s="12">
        <v>0</v>
      </c>
      <c r="J816" s="12">
        <v>1</v>
      </c>
      <c r="K816" s="13" t="str">
        <f t="shared" si="193"/>
        <v>Twitter for Android</v>
      </c>
      <c r="L816" s="12">
        <v>1184</v>
      </c>
      <c r="M816" s="12">
        <v>5002</v>
      </c>
      <c r="N816" s="12">
        <v>0</v>
      </c>
      <c r="O816" s="14"/>
      <c r="P816" s="6">
        <v>43190.59783564815</v>
      </c>
      <c r="Q816" s="15" t="s">
        <v>236</v>
      </c>
      <c r="R816" s="17" t="s">
        <v>237</v>
      </c>
      <c r="S816" s="11"/>
      <c r="T816" s="11"/>
      <c r="U816" s="10" t="str">
        <f>HYPERLINK("https://pbs.twimg.com/profile_images/1068881444196499456/MCgxp2WR.jpg","View")</f>
        <v>View</v>
      </c>
    </row>
    <row r="817" spans="1:21" ht="81.599999999999994">
      <c r="A817" s="6">
        <v>43440.617303240739</v>
      </c>
      <c r="B817" s="7" t="str">
        <f>HYPERLINK("https://twitter.com/78Joanblanco","@78Joanblanco")</f>
        <v>@78Joanblanco</v>
      </c>
      <c r="C817" s="8" t="s">
        <v>3037</v>
      </c>
      <c r="D817" s="9" t="s">
        <v>3038</v>
      </c>
      <c r="E817" s="10" t="str">
        <f>HYPERLINK("https://twitter.com/78Joanblanco/status/1070676461265317888","1070676461265317888")</f>
        <v>1070676461265317888</v>
      </c>
      <c r="F817" s="15" t="s">
        <v>2736</v>
      </c>
      <c r="G817" s="11"/>
      <c r="H817" s="11"/>
      <c r="I817" s="12">
        <v>0</v>
      </c>
      <c r="J817" s="12">
        <v>0</v>
      </c>
      <c r="K817" s="13" t="str">
        <f t="shared" si="193"/>
        <v>Twitter for Android</v>
      </c>
      <c r="L817" s="12">
        <v>284</v>
      </c>
      <c r="M817" s="12">
        <v>1287</v>
      </c>
      <c r="N817" s="12">
        <v>0</v>
      </c>
      <c r="O817" s="14"/>
      <c r="P817" s="6">
        <v>43054.665648148148</v>
      </c>
      <c r="Q817" s="15" t="s">
        <v>1470</v>
      </c>
      <c r="R817" s="17" t="s">
        <v>3039</v>
      </c>
      <c r="S817" s="11"/>
      <c r="T817" s="11"/>
      <c r="U817" s="10" t="str">
        <f>HYPERLINK("https://pbs.twimg.com/profile_images/1013920154709823488/IYGqT7ht.jpg","View")</f>
        <v>View</v>
      </c>
    </row>
    <row r="818" spans="1:21" ht="51">
      <c r="A818" s="6">
        <v>43440.616759259261</v>
      </c>
      <c r="B818" s="7" t="str">
        <f>HYPERLINK("https://twitter.com/JonLavey","@JonLavey")</f>
        <v>@JonLavey</v>
      </c>
      <c r="C818" s="8" t="s">
        <v>3040</v>
      </c>
      <c r="D818" s="9" t="s">
        <v>3041</v>
      </c>
      <c r="E818" s="10" t="str">
        <f>HYPERLINK("https://twitter.com/JonLavey/status/1070676265861025794","1070676265861025794")</f>
        <v>1070676265861025794</v>
      </c>
      <c r="F818" s="16" t="s">
        <v>3042</v>
      </c>
      <c r="G818" s="11"/>
      <c r="H818" s="11"/>
      <c r="I818" s="12">
        <v>0</v>
      </c>
      <c r="J818" s="12">
        <v>0</v>
      </c>
      <c r="K818" s="13" t="str">
        <f t="shared" si="193"/>
        <v>Twitter for Android</v>
      </c>
      <c r="L818" s="12">
        <v>52</v>
      </c>
      <c r="M818" s="12">
        <v>131</v>
      </c>
      <c r="N818" s="12">
        <v>0</v>
      </c>
      <c r="O818" s="14"/>
      <c r="P818" s="6">
        <v>43251.737442129626</v>
      </c>
      <c r="Q818" s="15" t="s">
        <v>1546</v>
      </c>
      <c r="R818" s="17" t="s">
        <v>3043</v>
      </c>
      <c r="S818" s="11"/>
      <c r="T818" s="11"/>
      <c r="U818" s="10" t="str">
        <f>HYPERLINK("https://pbs.twimg.com/profile_images/1002225228930519045/IuhMoZTW.jpg","View")</f>
        <v>View</v>
      </c>
    </row>
    <row r="819" spans="1:21" ht="61.2">
      <c r="A819" s="6">
        <v>43440.616736111115</v>
      </c>
      <c r="B819" s="7" t="str">
        <f>HYPERLINK("https://twitter.com/UlisesGamez10","@UlisesGamez10")</f>
        <v>@UlisesGamez10</v>
      </c>
      <c r="C819" s="8" t="s">
        <v>233</v>
      </c>
      <c r="D819" s="9" t="s">
        <v>3044</v>
      </c>
      <c r="E819" s="10" t="str">
        <f>HYPERLINK("https://twitter.com/UlisesGamez10/status/1070676256197394432","1070676256197394432")</f>
        <v>1070676256197394432</v>
      </c>
      <c r="F819" s="11"/>
      <c r="G819" s="16" t="s">
        <v>3045</v>
      </c>
      <c r="H819" s="11"/>
      <c r="I819" s="12">
        <v>0</v>
      </c>
      <c r="J819" s="12">
        <v>0</v>
      </c>
      <c r="K819" s="13" t="str">
        <f t="shared" si="193"/>
        <v>Twitter for Android</v>
      </c>
      <c r="L819" s="12">
        <v>1184</v>
      </c>
      <c r="M819" s="12">
        <v>5002</v>
      </c>
      <c r="N819" s="12">
        <v>0</v>
      </c>
      <c r="O819" s="14"/>
      <c r="P819" s="6">
        <v>43190.59783564815</v>
      </c>
      <c r="Q819" s="15" t="s">
        <v>236</v>
      </c>
      <c r="R819" s="17" t="s">
        <v>237</v>
      </c>
      <c r="S819" s="11"/>
      <c r="T819" s="11"/>
      <c r="U819" s="10" t="str">
        <f>HYPERLINK("https://pbs.twimg.com/profile_images/1068881444196499456/MCgxp2WR.jpg","View")</f>
        <v>View</v>
      </c>
    </row>
    <row r="820" spans="1:21" ht="51">
      <c r="A820" s="6">
        <v>43440.611504629633</v>
      </c>
      <c r="B820" s="7" t="str">
        <f>HYPERLINK("https://twitter.com/carl99carl99","@carl99carl99")</f>
        <v>@carl99carl99</v>
      </c>
      <c r="C820" s="8" t="s">
        <v>1746</v>
      </c>
      <c r="D820" s="9" t="s">
        <v>3046</v>
      </c>
      <c r="E820" s="10" t="str">
        <f>HYPERLINK("https://twitter.com/carl99carl99/status/1070674362418769923","1070674362418769923")</f>
        <v>1070674362418769923</v>
      </c>
      <c r="F820" s="16" t="s">
        <v>3047</v>
      </c>
      <c r="G820" s="11"/>
      <c r="H820" s="11"/>
      <c r="I820" s="12">
        <v>0</v>
      </c>
      <c r="J820" s="12">
        <v>0</v>
      </c>
      <c r="K820" s="13" t="str">
        <f>HYPERLINK("http://twitter.com","Twitter Web Client")</f>
        <v>Twitter Web Client</v>
      </c>
      <c r="L820" s="12">
        <v>0</v>
      </c>
      <c r="M820" s="12">
        <v>0</v>
      </c>
      <c r="N820" s="12">
        <v>0</v>
      </c>
      <c r="O820" s="14"/>
      <c r="P820" s="6">
        <v>43297.685543981483</v>
      </c>
      <c r="Q820" s="11"/>
      <c r="R820" s="18"/>
      <c r="S820" s="11"/>
      <c r="T820" s="11"/>
      <c r="U820" s="23" t="s">
        <v>437</v>
      </c>
    </row>
    <row r="821" spans="1:21" ht="40.799999999999997">
      <c r="A821" s="6">
        <v>43440.609768518523</v>
      </c>
      <c r="B821" s="7" t="str">
        <f>HYPERLINK("https://twitter.com/Ivn04057398","@Ivn04057398")</f>
        <v>@Ivn04057398</v>
      </c>
      <c r="C821" s="8" t="s">
        <v>3048</v>
      </c>
      <c r="D821" s="9" t="s">
        <v>3049</v>
      </c>
      <c r="E821" s="10" t="str">
        <f>HYPERLINK("https://twitter.com/Ivn04057398/status/1070673730723045378","1070673730723045378")</f>
        <v>1070673730723045378</v>
      </c>
      <c r="F821" s="11"/>
      <c r="G821" s="11"/>
      <c r="H821" s="11"/>
      <c r="I821" s="12">
        <v>0</v>
      </c>
      <c r="J821" s="12">
        <v>2</v>
      </c>
      <c r="K821" s="13" t="str">
        <f t="shared" ref="K821:K822" si="194">HYPERLINK("http://twitter.com/download/android","Twitter for Android")</f>
        <v>Twitter for Android</v>
      </c>
      <c r="L821" s="12">
        <v>6</v>
      </c>
      <c r="M821" s="12">
        <v>5</v>
      </c>
      <c r="N821" s="12">
        <v>0</v>
      </c>
      <c r="O821" s="14"/>
      <c r="P821" s="6">
        <v>43374.936724537038</v>
      </c>
      <c r="Q821" s="11"/>
      <c r="R821" s="17" t="s">
        <v>3050</v>
      </c>
      <c r="S821" s="11"/>
      <c r="T821" s="11"/>
      <c r="U821" s="10" t="str">
        <f>HYPERLINK("https://pbs.twimg.com/profile_images/1046868958882729989/rgY3n1HS.jpg","View")</f>
        <v>View</v>
      </c>
    </row>
    <row r="822" spans="1:21" ht="40.799999999999997">
      <c r="A822" s="6">
        <v>43440.607175925921</v>
      </c>
      <c r="B822" s="7" t="str">
        <f>HYPERLINK("https://twitter.com/peaceemaker_xx","@peaceemaker_xx")</f>
        <v>@peaceemaker_xx</v>
      </c>
      <c r="C822" s="8" t="s">
        <v>3051</v>
      </c>
      <c r="D822" s="9" t="s">
        <v>3052</v>
      </c>
      <c r="E822" s="10" t="str">
        <f>HYPERLINK("https://twitter.com/peaceemaker_xx/status/1070672790561480704","1070672790561480704")</f>
        <v>1070672790561480704</v>
      </c>
      <c r="F822" s="11"/>
      <c r="G822" s="16" t="s">
        <v>3053</v>
      </c>
      <c r="H822" s="11"/>
      <c r="I822" s="12">
        <v>1</v>
      </c>
      <c r="J822" s="12">
        <v>2</v>
      </c>
      <c r="K822" s="13" t="str">
        <f t="shared" si="194"/>
        <v>Twitter for Android</v>
      </c>
      <c r="L822" s="12">
        <v>824</v>
      </c>
      <c r="M822" s="12">
        <v>1749</v>
      </c>
      <c r="N822" s="12">
        <v>30</v>
      </c>
      <c r="O822" s="14"/>
      <c r="P822" s="6">
        <v>40230.426666666666</v>
      </c>
      <c r="Q822" s="15" t="s">
        <v>3054</v>
      </c>
      <c r="R822" s="17" t="s">
        <v>3055</v>
      </c>
      <c r="S822" s="11"/>
      <c r="T822" s="11"/>
      <c r="U822" s="10" t="str">
        <f>HYPERLINK("https://pbs.twimg.com/profile_images/1068920226434174976/0ow7qqLO.jpg","View")</f>
        <v>View</v>
      </c>
    </row>
    <row r="823" spans="1:21" ht="40.799999999999997">
      <c r="A823" s="6">
        <v>43440.606805555552</v>
      </c>
      <c r="B823" s="7" t="str">
        <f>HYPERLINK("https://twitter.com/DBerguio","@DBerguio")</f>
        <v>@DBerguio</v>
      </c>
      <c r="C823" s="8" t="s">
        <v>3056</v>
      </c>
      <c r="D823" s="9" t="s">
        <v>3057</v>
      </c>
      <c r="E823" s="10" t="str">
        <f>HYPERLINK("https://twitter.com/DBerguio/status/1070672656524025856","1070672656524025856")</f>
        <v>1070672656524025856</v>
      </c>
      <c r="F823" s="11"/>
      <c r="G823" s="11"/>
      <c r="H823" s="11"/>
      <c r="I823" s="12">
        <v>0</v>
      </c>
      <c r="J823" s="12">
        <v>0</v>
      </c>
      <c r="K823" s="13" t="str">
        <f>HYPERLINK("http://twitter.com/download/iphone","Twitter for iPhone")</f>
        <v>Twitter for iPhone</v>
      </c>
      <c r="L823" s="12">
        <v>74</v>
      </c>
      <c r="M823" s="12">
        <v>250</v>
      </c>
      <c r="N823" s="12">
        <v>1</v>
      </c>
      <c r="O823" s="14"/>
      <c r="P823" s="6">
        <v>41228.050902777773</v>
      </c>
      <c r="Q823" s="11"/>
      <c r="R823" s="18"/>
      <c r="S823" s="11"/>
      <c r="T823" s="11"/>
      <c r="U823" s="10" t="str">
        <f>HYPERLINK("https://pbs.twimg.com/profile_images/998624835960893440/wzGZ2jwx.jpg","View")</f>
        <v>View</v>
      </c>
    </row>
    <row r="824" spans="1:21" ht="40.799999999999997">
      <c r="A824" s="6">
        <v>43440.604386574079</v>
      </c>
      <c r="B824" s="7" t="str">
        <f>HYPERLINK("https://twitter.com/andres_tecno","@andres_tecno")</f>
        <v>@andres_tecno</v>
      </c>
      <c r="C824" s="8" t="s">
        <v>3058</v>
      </c>
      <c r="D824" s="9" t="s">
        <v>3059</v>
      </c>
      <c r="E824" s="10" t="str">
        <f>HYPERLINK("https://twitter.com/andres_tecno/status/1070671782271746053","1070671782271746053")</f>
        <v>1070671782271746053</v>
      </c>
      <c r="F824" s="11"/>
      <c r="G824" s="16" t="s">
        <v>3060</v>
      </c>
      <c r="H824" s="11"/>
      <c r="I824" s="12">
        <v>0</v>
      </c>
      <c r="J824" s="12">
        <v>0</v>
      </c>
      <c r="K824" s="13" t="str">
        <f>HYPERLINK("http://twitter.com","Twitter Web Client")</f>
        <v>Twitter Web Client</v>
      </c>
      <c r="L824" s="12">
        <v>297</v>
      </c>
      <c r="M824" s="12">
        <v>454</v>
      </c>
      <c r="N824" s="12">
        <v>15</v>
      </c>
      <c r="O824" s="14"/>
      <c r="P824" s="6">
        <v>40671.762696759259</v>
      </c>
      <c r="Q824" s="15" t="s">
        <v>3061</v>
      </c>
      <c r="R824" s="17" t="s">
        <v>3062</v>
      </c>
      <c r="S824" s="11"/>
      <c r="T824" s="11"/>
      <c r="U824" s="10" t="str">
        <f>HYPERLINK("https://pbs.twimg.com/profile_images/1070792803020627970/2B8CsVw-.jpg","View")</f>
        <v>View</v>
      </c>
    </row>
    <row r="825" spans="1:21" ht="112.2">
      <c r="A825" s="6">
        <v>43440.602638888886</v>
      </c>
      <c r="B825" s="7" t="str">
        <f>HYPERLINK("https://twitter.com/Ignacio53090997","@Ignacio53090997")</f>
        <v>@Ignacio53090997</v>
      </c>
      <c r="C825" s="8" t="s">
        <v>2610</v>
      </c>
      <c r="D825" s="9" t="s">
        <v>3063</v>
      </c>
      <c r="E825" s="10" t="str">
        <f>HYPERLINK("https://twitter.com/Ignacio53090997/status/1070671149363810304","1070671149363810304")</f>
        <v>1070671149363810304</v>
      </c>
      <c r="F825" s="16" t="s">
        <v>3064</v>
      </c>
      <c r="G825" s="16" t="s">
        <v>3065</v>
      </c>
      <c r="H825" s="11"/>
      <c r="I825" s="12">
        <v>1</v>
      </c>
      <c r="J825" s="12">
        <v>2</v>
      </c>
      <c r="K825" s="13" t="str">
        <f t="shared" ref="K825:K827" si="195">HYPERLINK("http://twitter.com/download/android","Twitter for Android")</f>
        <v>Twitter for Android</v>
      </c>
      <c r="L825" s="12">
        <v>521</v>
      </c>
      <c r="M825" s="12">
        <v>585</v>
      </c>
      <c r="N825" s="12">
        <v>1</v>
      </c>
      <c r="O825" s="14"/>
      <c r="P825" s="6">
        <v>43174.605115740742</v>
      </c>
      <c r="Q825" s="11"/>
      <c r="R825" s="17" t="s">
        <v>2612</v>
      </c>
      <c r="S825" s="11"/>
      <c r="T825" s="11"/>
      <c r="U825" s="10" t="str">
        <f>HYPERLINK("https://pbs.twimg.com/profile_images/1020686491838803968/_KtC9kO0.jpg","View")</f>
        <v>View</v>
      </c>
    </row>
    <row r="826" spans="1:21" ht="51">
      <c r="A826" s="6">
        <v>43440.602638888886</v>
      </c>
      <c r="B826" s="7" t="str">
        <f>HYPERLINK("https://twitter.com/ricardojlj","@ricardojlj")</f>
        <v>@ricardojlj</v>
      </c>
      <c r="C826" s="8" t="s">
        <v>3066</v>
      </c>
      <c r="D826" s="9" t="s">
        <v>3067</v>
      </c>
      <c r="E826" s="10" t="str">
        <f>HYPERLINK("https://twitter.com/ricardojlj/status/1070671148881457152","1070671148881457152")</f>
        <v>1070671148881457152</v>
      </c>
      <c r="F826" s="16" t="s">
        <v>3068</v>
      </c>
      <c r="G826" s="11"/>
      <c r="H826" s="11"/>
      <c r="I826" s="12">
        <v>1</v>
      </c>
      <c r="J826" s="12">
        <v>2</v>
      </c>
      <c r="K826" s="13" t="str">
        <f t="shared" si="195"/>
        <v>Twitter for Android</v>
      </c>
      <c r="L826" s="12">
        <v>285</v>
      </c>
      <c r="M826" s="12">
        <v>388</v>
      </c>
      <c r="N826" s="12">
        <v>0</v>
      </c>
      <c r="O826" s="14"/>
      <c r="P826" s="6">
        <v>40713.073472222226</v>
      </c>
      <c r="Q826" s="11"/>
      <c r="R826" s="18"/>
      <c r="S826" s="11"/>
      <c r="T826" s="11"/>
      <c r="U826" s="10" t="str">
        <f>HYPERLINK("https://pbs.twimg.com/profile_images/1053281362101366785/xN0_bOyx.jpg","View")</f>
        <v>View</v>
      </c>
    </row>
    <row r="827" spans="1:21" ht="40.799999999999997">
      <c r="A827" s="6">
        <v>43440.600960648153</v>
      </c>
      <c r="B827" s="7" t="str">
        <f>HYPERLINK("https://twitter.com/VkJkn","@VkJkn")</f>
        <v>@VkJkn</v>
      </c>
      <c r="C827" s="8" t="s">
        <v>3069</v>
      </c>
      <c r="D827" s="9" t="s">
        <v>3070</v>
      </c>
      <c r="E827" s="10" t="str">
        <f>HYPERLINK("https://twitter.com/VkJkn/status/1070670540237664257","1070670540237664257")</f>
        <v>1070670540237664257</v>
      </c>
      <c r="F827" s="15" t="s">
        <v>3071</v>
      </c>
      <c r="G827" s="16" t="s">
        <v>3072</v>
      </c>
      <c r="H827" s="11"/>
      <c r="I827" s="12">
        <v>0</v>
      </c>
      <c r="J827" s="12">
        <v>0</v>
      </c>
      <c r="K827" s="13" t="str">
        <f t="shared" si="195"/>
        <v>Twitter for Android</v>
      </c>
      <c r="L827" s="12">
        <v>128</v>
      </c>
      <c r="M827" s="12">
        <v>217</v>
      </c>
      <c r="N827" s="12">
        <v>2</v>
      </c>
      <c r="O827" s="14"/>
      <c r="P827" s="6">
        <v>43252.766689814816</v>
      </c>
      <c r="Q827" s="15" t="s">
        <v>3073</v>
      </c>
      <c r="R827" s="17" t="s">
        <v>3074</v>
      </c>
      <c r="S827" s="11"/>
      <c r="T827" s="11"/>
      <c r="U827" s="10" t="str">
        <f>HYPERLINK("https://pbs.twimg.com/profile_images/1028128452929572864/hMz9DuXY.jpg","View")</f>
        <v>View</v>
      </c>
    </row>
    <row r="828" spans="1:21" ht="61.2">
      <c r="A828" s="6">
        <v>43440.59679398148</v>
      </c>
      <c r="B828" s="7" t="str">
        <f>HYPERLINK("https://twitter.com/antondelgar","@antondelgar")</f>
        <v>@antondelgar</v>
      </c>
      <c r="C828" s="8" t="s">
        <v>3075</v>
      </c>
      <c r="D828" s="9" t="s">
        <v>3076</v>
      </c>
      <c r="E828" s="10" t="str">
        <f>HYPERLINK("https://twitter.com/antondelgar/status/1070669029893857280","1070669029893857280")</f>
        <v>1070669029893857280</v>
      </c>
      <c r="F828" s="11"/>
      <c r="G828" s="16" t="s">
        <v>3077</v>
      </c>
      <c r="H828" s="11"/>
      <c r="I828" s="12">
        <v>0</v>
      </c>
      <c r="J828" s="12">
        <v>1</v>
      </c>
      <c r="K828" s="13" t="str">
        <f>HYPERLINK("http://twitter.com/download/iphone","Twitter for iPhone")</f>
        <v>Twitter for iPhone</v>
      </c>
      <c r="L828" s="12">
        <v>731</v>
      </c>
      <c r="M828" s="12">
        <v>336</v>
      </c>
      <c r="N828" s="12">
        <v>5</v>
      </c>
      <c r="O828" s="14"/>
      <c r="P828" s="6">
        <v>40230.921342592592</v>
      </c>
      <c r="Q828" s="15" t="s">
        <v>3078</v>
      </c>
      <c r="R828" s="17" t="s">
        <v>3079</v>
      </c>
      <c r="S828" s="15" t="s">
        <v>3080</v>
      </c>
      <c r="T828" s="11"/>
      <c r="U828" s="10" t="str">
        <f>HYPERLINK("https://pbs.twimg.com/profile_images/1052901409534996480/vi7qQ2nz.jpg","View")</f>
        <v>View</v>
      </c>
    </row>
    <row r="829" spans="1:21" ht="40.799999999999997">
      <c r="A829" s="6">
        <v>43440.596377314811</v>
      </c>
      <c r="B829" s="7" t="str">
        <f>HYPERLINK("https://twitter.com/fcomartnez","@fcomartnez")</f>
        <v>@fcomartnez</v>
      </c>
      <c r="C829" s="8" t="s">
        <v>3081</v>
      </c>
      <c r="D829" s="9" t="s">
        <v>3082</v>
      </c>
      <c r="E829" s="10" t="str">
        <f>HYPERLINK("https://twitter.com/fcomartnez/status/1070668879809167360","1070668879809167360")</f>
        <v>1070668879809167360</v>
      </c>
      <c r="F829" s="16" t="s">
        <v>3083</v>
      </c>
      <c r="G829" s="11"/>
      <c r="H829" s="11"/>
      <c r="I829" s="12">
        <v>0</v>
      </c>
      <c r="J829" s="12">
        <v>0</v>
      </c>
      <c r="K829" s="13" t="str">
        <f t="shared" ref="K829:K830" si="196">HYPERLINK("http://twitter.com","Twitter Web Client")</f>
        <v>Twitter Web Client</v>
      </c>
      <c r="L829" s="12">
        <v>2840</v>
      </c>
      <c r="M829" s="12">
        <v>2839</v>
      </c>
      <c r="N829" s="12">
        <v>15</v>
      </c>
      <c r="O829" s="14"/>
      <c r="P829" s="6">
        <v>40682.76059027778</v>
      </c>
      <c r="Q829" s="15" t="s">
        <v>197</v>
      </c>
      <c r="R829" s="17" t="s">
        <v>3084</v>
      </c>
      <c r="S829" s="11"/>
      <c r="T829" s="11"/>
      <c r="U829" s="10" t="str">
        <f>HYPERLINK("https://pbs.twimg.com/profile_images/1537287110/twentti.jpg","View")</f>
        <v>View</v>
      </c>
    </row>
    <row r="830" spans="1:21" ht="71.400000000000006">
      <c r="A830" s="6">
        <v>43440.595706018517</v>
      </c>
      <c r="B830" s="7" t="str">
        <f>HYPERLINK("https://twitter.com/JMurilloDoll","@JMurilloDoll")</f>
        <v>@JMurilloDoll</v>
      </c>
      <c r="C830" s="8" t="s">
        <v>3085</v>
      </c>
      <c r="D830" s="9" t="s">
        <v>3086</v>
      </c>
      <c r="E830" s="10" t="str">
        <f>HYPERLINK("https://twitter.com/JMurilloDoll/status/1070668637873324032","1070668637873324032")</f>
        <v>1070668637873324032</v>
      </c>
      <c r="F830" s="15" t="s">
        <v>3087</v>
      </c>
      <c r="G830" s="11"/>
      <c r="H830" s="11"/>
      <c r="I830" s="12">
        <v>0</v>
      </c>
      <c r="J830" s="12">
        <v>0</v>
      </c>
      <c r="K830" s="13" t="str">
        <f t="shared" si="196"/>
        <v>Twitter Web Client</v>
      </c>
      <c r="L830" s="12">
        <v>1071</v>
      </c>
      <c r="M830" s="12">
        <v>1568</v>
      </c>
      <c r="N830" s="12">
        <v>4</v>
      </c>
      <c r="O830" s="14"/>
      <c r="P830" s="6">
        <v>41772.386111111111</v>
      </c>
      <c r="Q830" s="15" t="s">
        <v>3088</v>
      </c>
      <c r="R830" s="17" t="s">
        <v>3089</v>
      </c>
      <c r="S830" s="11"/>
      <c r="T830" s="11"/>
      <c r="U830" s="10" t="str">
        <f>HYPERLINK("https://pbs.twimg.com/profile_images/993487366986838016/aUKNvuTu.jpg","View")</f>
        <v>View</v>
      </c>
    </row>
    <row r="831" spans="1:21" ht="40.799999999999997">
      <c r="A831" s="6">
        <v>43440.595636574071</v>
      </c>
      <c r="B831" s="7" t="str">
        <f>HYPERLINK("https://twitter.com/elLokoOnFire","@elLokoOnFire")</f>
        <v>@elLokoOnFire</v>
      </c>
      <c r="C831" s="8" t="s">
        <v>1223</v>
      </c>
      <c r="D831" s="9" t="s">
        <v>3090</v>
      </c>
      <c r="E831" s="10" t="str">
        <f>HYPERLINK("https://twitter.com/elLokoOnFire/status/1070668612522909697","1070668612522909697")</f>
        <v>1070668612522909697</v>
      </c>
      <c r="F831" s="16" t="s">
        <v>3091</v>
      </c>
      <c r="G831" s="11"/>
      <c r="H831" s="11"/>
      <c r="I831" s="12">
        <v>3</v>
      </c>
      <c r="J831" s="12">
        <v>2</v>
      </c>
      <c r="K831" s="13" t="str">
        <f>HYPERLINK("http://twitter.com/download/iphone","Twitter for iPhone")</f>
        <v>Twitter for iPhone</v>
      </c>
      <c r="L831" s="12">
        <v>3214</v>
      </c>
      <c r="M831" s="12">
        <v>2813</v>
      </c>
      <c r="N831" s="12">
        <v>9</v>
      </c>
      <c r="O831" s="14"/>
      <c r="P831" s="6">
        <v>42794.544652777782</v>
      </c>
      <c r="Q831" s="15" t="s">
        <v>1226</v>
      </c>
      <c r="R831" s="17" t="s">
        <v>1227</v>
      </c>
      <c r="S831" s="11"/>
      <c r="T831" s="11"/>
      <c r="U831" s="10" t="str">
        <f>HYPERLINK("https://pbs.twimg.com/profile_images/836569302023221250/KFiIuXuN.jpg","View")</f>
        <v>View</v>
      </c>
    </row>
    <row r="832" spans="1:21" ht="30.6">
      <c r="A832" s="6">
        <v>43440.594594907408</v>
      </c>
      <c r="B832" s="7" t="str">
        <f>HYPERLINK("https://twitter.com/DeRafatmgr","@DeRafatmgr")</f>
        <v>@DeRafatmgr</v>
      </c>
      <c r="C832" s="8" t="s">
        <v>3092</v>
      </c>
      <c r="D832" s="9" t="s">
        <v>3093</v>
      </c>
      <c r="E832" s="10" t="str">
        <f>HYPERLINK("https://twitter.com/DeRafatmgr/status/1070668234519646208","1070668234519646208")</f>
        <v>1070668234519646208</v>
      </c>
      <c r="F832" s="11"/>
      <c r="G832" s="11"/>
      <c r="H832" s="11"/>
      <c r="I832" s="12">
        <v>0</v>
      </c>
      <c r="J832" s="12">
        <v>0</v>
      </c>
      <c r="K832" s="13" t="str">
        <f>HYPERLINK("http://twitter.com","Twitter Web Client")</f>
        <v>Twitter Web Client</v>
      </c>
      <c r="L832" s="12">
        <v>962</v>
      </c>
      <c r="M832" s="12">
        <v>892</v>
      </c>
      <c r="N832" s="12">
        <v>3</v>
      </c>
      <c r="O832" s="14"/>
      <c r="P832" s="6">
        <v>41015.572893518518</v>
      </c>
      <c r="Q832" s="15" t="s">
        <v>90</v>
      </c>
      <c r="R832" s="17" t="s">
        <v>3094</v>
      </c>
      <c r="S832" s="11"/>
      <c r="T832" s="11"/>
      <c r="U832" s="10" t="str">
        <f>HYPERLINK("https://pbs.twimg.com/profile_images/1071325563737006080/6lOdLc8a.jpg","View")</f>
        <v>View</v>
      </c>
    </row>
    <row r="833" spans="1:21" ht="30.6">
      <c r="A833" s="6">
        <v>43440.594050925924</v>
      </c>
      <c r="B833" s="7" t="str">
        <f>HYPERLINK("https://twitter.com/IsaacCoks","@IsaacCoks")</f>
        <v>@IsaacCoks</v>
      </c>
      <c r="C833" s="8" t="s">
        <v>3095</v>
      </c>
      <c r="D833" s="9" t="s">
        <v>3096</v>
      </c>
      <c r="E833" s="10" t="str">
        <f>HYPERLINK("https://twitter.com/IsaacCoks/status/1070668034438770689","1070668034438770689")</f>
        <v>1070668034438770689</v>
      </c>
      <c r="F833" s="11"/>
      <c r="G833" s="16" t="s">
        <v>3097</v>
      </c>
      <c r="H833" s="11"/>
      <c r="I833" s="12">
        <v>0</v>
      </c>
      <c r="J833" s="12">
        <v>0</v>
      </c>
      <c r="K833" s="13" t="str">
        <f>HYPERLINK("http://twitter.com/download/android","Twitter for Android")</f>
        <v>Twitter for Android</v>
      </c>
      <c r="L833" s="12">
        <v>615</v>
      </c>
      <c r="M833" s="12">
        <v>222</v>
      </c>
      <c r="N833" s="12">
        <v>12</v>
      </c>
      <c r="O833" s="14"/>
      <c r="P833" s="6">
        <v>41343.68959490741</v>
      </c>
      <c r="Q833" s="11"/>
      <c r="R833" s="17" t="s">
        <v>3098</v>
      </c>
      <c r="S833" s="11"/>
      <c r="T833" s="11"/>
      <c r="U833" s="10" t="str">
        <f>HYPERLINK("https://pbs.twimg.com/profile_images/1011275257750212610/JIk2EBQs.jpg","View")</f>
        <v>View</v>
      </c>
    </row>
    <row r="834" spans="1:21" ht="112.2">
      <c r="A834" s="6">
        <v>43440.593032407407</v>
      </c>
      <c r="B834" s="7" t="str">
        <f>HYPERLINK("https://twitter.com/nomedesporculo1","@nomedesporculo1")</f>
        <v>@nomedesporculo1</v>
      </c>
      <c r="C834" s="8" t="s">
        <v>258</v>
      </c>
      <c r="D834" s="9" t="s">
        <v>3099</v>
      </c>
      <c r="E834" s="10" t="str">
        <f>HYPERLINK("https://twitter.com/nomedesporculo1/status/1070667667789500419","1070667667789500419")</f>
        <v>1070667667789500419</v>
      </c>
      <c r="F834" s="16" t="s">
        <v>3100</v>
      </c>
      <c r="G834" s="11"/>
      <c r="H834" s="11"/>
      <c r="I834" s="12">
        <v>0</v>
      </c>
      <c r="J834" s="12">
        <v>2</v>
      </c>
      <c r="K834" s="13" t="str">
        <f>HYPERLINK("http://twitter.com","Twitter Web Client")</f>
        <v>Twitter Web Client</v>
      </c>
      <c r="L834" s="12">
        <v>452</v>
      </c>
      <c r="M834" s="12">
        <v>573</v>
      </c>
      <c r="N834" s="12">
        <v>1</v>
      </c>
      <c r="O834" s="14"/>
      <c r="P834" s="6">
        <v>43229.504178240742</v>
      </c>
      <c r="Q834" s="15" t="s">
        <v>197</v>
      </c>
      <c r="R834" s="17" t="s">
        <v>262</v>
      </c>
      <c r="S834" s="11"/>
      <c r="T834" s="11"/>
      <c r="U834" s="10" t="str">
        <f>HYPERLINK("https://pbs.twimg.com/profile_images/994246645255729152/cHfn_Hjl.jpg","View")</f>
        <v>View</v>
      </c>
    </row>
    <row r="835" spans="1:21" ht="20.399999999999999">
      <c r="A835" s="6">
        <v>43440.591215277775</v>
      </c>
      <c r="B835" s="7" t="str">
        <f>HYPERLINK("https://twitter.com/Dadorcito","@Dadorcito")</f>
        <v>@Dadorcito</v>
      </c>
      <c r="C835" s="8" t="s">
        <v>3101</v>
      </c>
      <c r="D835" s="9" t="s">
        <v>3102</v>
      </c>
      <c r="E835" s="10" t="str">
        <f>HYPERLINK("https://twitter.com/Dadorcito/status/1070667008851828736","1070667008851828736")</f>
        <v>1070667008851828736</v>
      </c>
      <c r="F835" s="11"/>
      <c r="G835" s="11"/>
      <c r="H835" s="11"/>
      <c r="I835" s="12">
        <v>3</v>
      </c>
      <c r="J835" s="12">
        <v>9</v>
      </c>
      <c r="K835" s="13" t="str">
        <f>HYPERLINK("http://twitter.com/download/iphone","Twitter for iPhone")</f>
        <v>Twitter for iPhone</v>
      </c>
      <c r="L835" s="12">
        <v>3050</v>
      </c>
      <c r="M835" s="12">
        <v>52</v>
      </c>
      <c r="N835" s="12">
        <v>26</v>
      </c>
      <c r="O835" s="14"/>
      <c r="P835" s="6">
        <v>42332.951597222222</v>
      </c>
      <c r="Q835" s="11"/>
      <c r="R835" s="17" t="s">
        <v>3103</v>
      </c>
      <c r="S835" s="11"/>
      <c r="T835" s="11"/>
      <c r="U835" s="10" t="str">
        <f>HYPERLINK("https://pbs.twimg.com/profile_images/669393004902391812/fZWcdAtS.jpg","View")</f>
        <v>View</v>
      </c>
    </row>
    <row r="836" spans="1:21" ht="102">
      <c r="A836" s="6">
        <v>43440.589467592596</v>
      </c>
      <c r="B836" s="7" t="str">
        <f>HYPERLINK("https://twitter.com/EmergitVeritas","@EmergitVeritas")</f>
        <v>@EmergitVeritas</v>
      </c>
      <c r="C836" s="8" t="s">
        <v>3104</v>
      </c>
      <c r="D836" s="9" t="s">
        <v>3105</v>
      </c>
      <c r="E836" s="10" t="str">
        <f>HYPERLINK("https://twitter.com/EmergitVeritas/status/1070666376908558341","1070666376908558341")</f>
        <v>1070666376908558341</v>
      </c>
      <c r="F836" s="16" t="s">
        <v>3106</v>
      </c>
      <c r="G836" s="16" t="s">
        <v>3107</v>
      </c>
      <c r="H836" s="11"/>
      <c r="I836" s="12">
        <v>0</v>
      </c>
      <c r="J836" s="12">
        <v>0</v>
      </c>
      <c r="K836" s="13" t="str">
        <f>HYPERLINK("http://twitter.com/download/android","Twitter for Android")</f>
        <v>Twitter for Android</v>
      </c>
      <c r="L836" s="12">
        <v>334</v>
      </c>
      <c r="M836" s="12">
        <v>952</v>
      </c>
      <c r="N836" s="12">
        <v>3</v>
      </c>
      <c r="O836" s="14"/>
      <c r="P836" s="6">
        <v>43312.888599537036</v>
      </c>
      <c r="Q836" s="15" t="s">
        <v>3108</v>
      </c>
      <c r="R836" s="17" t="s">
        <v>3109</v>
      </c>
      <c r="S836" s="11"/>
      <c r="T836" s="11"/>
      <c r="U836" s="10" t="str">
        <f>HYPERLINK("https://pbs.twimg.com/profile_images/1024405565831897089/bfeikAAD.jpg","View")</f>
        <v>View</v>
      </c>
    </row>
    <row r="837" spans="1:21" ht="51">
      <c r="A837" s="6">
        <v>43440.587951388894</v>
      </c>
      <c r="B837" s="7" t="str">
        <f>HYPERLINK("https://twitter.com/Dos_neuronas","@Dos_neuronas")</f>
        <v>@Dos_neuronas</v>
      </c>
      <c r="C837" s="8" t="s">
        <v>3110</v>
      </c>
      <c r="D837" s="9" t="s">
        <v>3111</v>
      </c>
      <c r="E837" s="10" t="str">
        <f>HYPERLINK("https://twitter.com/Dos_neuronas/status/1070665825630281729","1070665825630281729")</f>
        <v>1070665825630281729</v>
      </c>
      <c r="F837" s="11"/>
      <c r="G837" s="16" t="s">
        <v>3112</v>
      </c>
      <c r="H837" s="11"/>
      <c r="I837" s="12">
        <v>1</v>
      </c>
      <c r="J837" s="12">
        <v>3</v>
      </c>
      <c r="K837" s="13" t="str">
        <f>HYPERLINK("http://twitter.com","Twitter Web Client")</f>
        <v>Twitter Web Client</v>
      </c>
      <c r="L837" s="12">
        <v>1058</v>
      </c>
      <c r="M837" s="12">
        <v>2022</v>
      </c>
      <c r="N837" s="12">
        <v>1</v>
      </c>
      <c r="O837" s="14"/>
      <c r="P837" s="6">
        <v>42148.862118055556</v>
      </c>
      <c r="Q837" s="11"/>
      <c r="R837" s="17" t="s">
        <v>3113</v>
      </c>
      <c r="S837" s="11"/>
      <c r="T837" s="11"/>
      <c r="U837" s="10" t="str">
        <f>HYPERLINK("https://pbs.twimg.com/profile_images/1033778115112251393/8dgJgRh6.jpg","View")</f>
        <v>View</v>
      </c>
    </row>
    <row r="838" spans="1:21" ht="51">
      <c r="A838" s="6">
        <v>43440.587476851855</v>
      </c>
      <c r="B838" s="7" t="str">
        <f>HYPERLINK("https://twitter.com/cristodelotero","@cristodelotero")</f>
        <v>@cristodelotero</v>
      </c>
      <c r="C838" s="8" t="s">
        <v>3114</v>
      </c>
      <c r="D838" s="9" t="s">
        <v>3115</v>
      </c>
      <c r="E838" s="10" t="str">
        <f>HYPERLINK("https://twitter.com/cristodelotero/status/1070665654867542017","1070665654867542017")</f>
        <v>1070665654867542017</v>
      </c>
      <c r="F838" s="16" t="s">
        <v>3116</v>
      </c>
      <c r="G838" s="11"/>
      <c r="H838" s="11"/>
      <c r="I838" s="12">
        <v>0</v>
      </c>
      <c r="J838" s="12">
        <v>0</v>
      </c>
      <c r="K838" s="13" t="str">
        <f>HYPERLINK("http://twitter.com/download/android","Twitter for Android")</f>
        <v>Twitter for Android</v>
      </c>
      <c r="L838" s="12">
        <v>193</v>
      </c>
      <c r="M838" s="12">
        <v>370</v>
      </c>
      <c r="N838" s="12">
        <v>3</v>
      </c>
      <c r="O838" s="14"/>
      <c r="P838" s="6">
        <v>42316.001388888893</v>
      </c>
      <c r="Q838" s="15" t="s">
        <v>3117</v>
      </c>
      <c r="R838" s="17" t="s">
        <v>3118</v>
      </c>
      <c r="S838" s="11"/>
      <c r="T838" s="11"/>
      <c r="U838" s="10" t="str">
        <f>HYPERLINK("https://pbs.twimg.com/profile_images/1048298843346034688/WZoq8o_r.jpg","View")</f>
        <v>View</v>
      </c>
    </row>
    <row r="839" spans="1:21" ht="40.799999999999997">
      <c r="A839" s="6">
        <v>43440.584722222222</v>
      </c>
      <c r="B839" s="7" t="str">
        <f>HYPERLINK("https://twitter.com/TeruelVox","@TeruelVox")</f>
        <v>@TeruelVox</v>
      </c>
      <c r="C839" s="8" t="s">
        <v>3119</v>
      </c>
      <c r="D839" s="9" t="s">
        <v>3120</v>
      </c>
      <c r="E839" s="10" t="str">
        <f>HYPERLINK("https://twitter.com/TeruelVox/status/1070664654987423744","1070664654987423744")</f>
        <v>1070664654987423744</v>
      </c>
      <c r="F839" s="11"/>
      <c r="G839" s="11"/>
      <c r="H839" s="11"/>
      <c r="I839" s="12">
        <v>0</v>
      </c>
      <c r="J839" s="12">
        <v>0</v>
      </c>
      <c r="K839" s="13" t="str">
        <f>HYPERLINK("http://twitter.com/download/iphone","Twitter for iPhone")</f>
        <v>Twitter for iPhone</v>
      </c>
      <c r="L839" s="12">
        <v>10</v>
      </c>
      <c r="M839" s="12">
        <v>38</v>
      </c>
      <c r="N839" s="12">
        <v>0</v>
      </c>
      <c r="O839" s="14"/>
      <c r="P839" s="6">
        <v>43434.802650462967</v>
      </c>
      <c r="Q839" s="15" t="s">
        <v>3121</v>
      </c>
      <c r="R839" s="17" t="s">
        <v>3122</v>
      </c>
      <c r="S839" s="11"/>
      <c r="T839" s="11"/>
      <c r="U839" s="10" t="str">
        <f>HYPERLINK("https://pbs.twimg.com/profile_images/1068570136611889158/I7gNL2-p.jpg","View")</f>
        <v>View</v>
      </c>
    </row>
    <row r="840" spans="1:21" ht="91.8">
      <c r="A840" s="6">
        <v>43440.583356481482</v>
      </c>
      <c r="B840" s="7" t="str">
        <f>HYPERLINK("https://twitter.com/arb149","@arb149")</f>
        <v>@arb149</v>
      </c>
      <c r="C840" s="8" t="s">
        <v>3123</v>
      </c>
      <c r="D840" s="9" t="s">
        <v>3124</v>
      </c>
      <c r="E840" s="10" t="str">
        <f>HYPERLINK("https://twitter.com/arb149/status/1070664160713814017","1070664160713814017")</f>
        <v>1070664160713814017</v>
      </c>
      <c r="F840" s="16" t="s">
        <v>2766</v>
      </c>
      <c r="G840" s="16" t="s">
        <v>2767</v>
      </c>
      <c r="H840" s="11"/>
      <c r="I840" s="12">
        <v>0</v>
      </c>
      <c r="J840" s="12">
        <v>0</v>
      </c>
      <c r="K840" s="13" t="str">
        <f t="shared" ref="K840:K844" si="197">HYPERLINK("http://twitter.com/download/android","Twitter for Android")</f>
        <v>Twitter for Android</v>
      </c>
      <c r="L840" s="12">
        <v>1500</v>
      </c>
      <c r="M840" s="12">
        <v>1469</v>
      </c>
      <c r="N840" s="12">
        <v>8</v>
      </c>
      <c r="O840" s="14"/>
      <c r="P840" s="6">
        <v>42496.511030092588</v>
      </c>
      <c r="Q840" s="15" t="s">
        <v>1058</v>
      </c>
      <c r="R840" s="17" t="s">
        <v>3125</v>
      </c>
      <c r="S840" s="16" t="s">
        <v>3126</v>
      </c>
      <c r="T840" s="11"/>
      <c r="U840" s="10" t="str">
        <f>HYPERLINK("https://pbs.twimg.com/profile_images/973301746612228096/Y6FEtro1.jpg","View")</f>
        <v>View</v>
      </c>
    </row>
    <row r="841" spans="1:21" ht="61.2">
      <c r="A841" s="6">
        <v>43440.577291666668</v>
      </c>
      <c r="B841" s="7" t="str">
        <f>HYPERLINK("https://twitter.com/A_Espinosa_","@A_Espinosa_")</f>
        <v>@A_Espinosa_</v>
      </c>
      <c r="C841" s="8" t="s">
        <v>3127</v>
      </c>
      <c r="D841" s="9" t="s">
        <v>3128</v>
      </c>
      <c r="E841" s="10" t="str">
        <f>HYPERLINK("https://twitter.com/A_Espinosa_/status/1070661961275375616","1070661961275375616")</f>
        <v>1070661961275375616</v>
      </c>
      <c r="F841" s="11"/>
      <c r="G841" s="16" t="s">
        <v>3129</v>
      </c>
      <c r="H841" s="11"/>
      <c r="I841" s="12">
        <v>0</v>
      </c>
      <c r="J841" s="12">
        <v>1</v>
      </c>
      <c r="K841" s="13" t="str">
        <f t="shared" si="197"/>
        <v>Twitter for Android</v>
      </c>
      <c r="L841" s="12">
        <v>1720</v>
      </c>
      <c r="M841" s="12">
        <v>111</v>
      </c>
      <c r="N841" s="12">
        <v>53</v>
      </c>
      <c r="O841" s="14"/>
      <c r="P841" s="6">
        <v>42326.816793981481</v>
      </c>
      <c r="Q841" s="15" t="s">
        <v>197</v>
      </c>
      <c r="R841" s="17" t="s">
        <v>3130</v>
      </c>
      <c r="S841" s="16" t="s">
        <v>3131</v>
      </c>
      <c r="T841" s="11"/>
      <c r="U841" s="10" t="str">
        <f>HYPERLINK("https://pbs.twimg.com/profile_images/1063524022820966400/GieW5zMo.jpg","View")</f>
        <v>View</v>
      </c>
    </row>
    <row r="842" spans="1:21" ht="51">
      <c r="A842" s="6">
        <v>43440.577048611114</v>
      </c>
      <c r="B842" s="7" t="str">
        <f>HYPERLINK("https://twitter.com/qqqqetru","@qqqqetru")</f>
        <v>@qqqqetru</v>
      </c>
      <c r="C842" s="8" t="s">
        <v>843</v>
      </c>
      <c r="D842" s="9" t="s">
        <v>3132</v>
      </c>
      <c r="E842" s="10" t="str">
        <f>HYPERLINK("https://twitter.com/qqqqetru/status/1070661873664712704","1070661873664712704")</f>
        <v>1070661873664712704</v>
      </c>
      <c r="F842" s="11"/>
      <c r="G842" s="11"/>
      <c r="H842" s="11"/>
      <c r="I842" s="12">
        <v>4</v>
      </c>
      <c r="J842" s="12">
        <v>3</v>
      </c>
      <c r="K842" s="13" t="str">
        <f t="shared" si="197"/>
        <v>Twitter for Android</v>
      </c>
      <c r="L842" s="12">
        <v>649</v>
      </c>
      <c r="M842" s="12">
        <v>1194</v>
      </c>
      <c r="N842" s="12">
        <v>2</v>
      </c>
      <c r="O842" s="14"/>
      <c r="P842" s="6">
        <v>40749.437719907408</v>
      </c>
      <c r="Q842" s="11"/>
      <c r="R842" s="18"/>
      <c r="S842" s="11"/>
      <c r="T842" s="11"/>
      <c r="U842" s="10" t="str">
        <f>HYPERLINK("https://pbs.twimg.com/profile_images/1069734331780870144/d_KYpBFy.jpg","View")</f>
        <v>View</v>
      </c>
    </row>
    <row r="843" spans="1:21" ht="51">
      <c r="A843" s="6">
        <v>43440.576574074075</v>
      </c>
      <c r="B843" s="7" t="str">
        <f>HYPERLINK("https://twitter.com/amayitaaa","@amayitaaa")</f>
        <v>@amayitaaa</v>
      </c>
      <c r="C843" s="8" t="s">
        <v>3133</v>
      </c>
      <c r="D843" s="9" t="s">
        <v>3134</v>
      </c>
      <c r="E843" s="10" t="str">
        <f>HYPERLINK("https://twitter.com/amayitaaa/status/1070661704445554688","1070661704445554688")</f>
        <v>1070661704445554688</v>
      </c>
      <c r="F843" s="11"/>
      <c r="G843" s="11"/>
      <c r="H843" s="11"/>
      <c r="I843" s="12">
        <v>0</v>
      </c>
      <c r="J843" s="12">
        <v>1</v>
      </c>
      <c r="K843" s="13" t="str">
        <f t="shared" si="197"/>
        <v>Twitter for Android</v>
      </c>
      <c r="L843" s="12">
        <v>132</v>
      </c>
      <c r="M843" s="12">
        <v>330</v>
      </c>
      <c r="N843" s="12">
        <v>2</v>
      </c>
      <c r="O843" s="14"/>
      <c r="P843" s="6">
        <v>39899.527175925927</v>
      </c>
      <c r="Q843" s="11"/>
      <c r="R843" s="17" t="s">
        <v>3135</v>
      </c>
      <c r="S843" s="11"/>
      <c r="T843" s="11"/>
      <c r="U843" s="10" t="str">
        <f>HYPERLINK("https://pbs.twimg.com/profile_images/228284943/yo____.jpg","View")</f>
        <v>View</v>
      </c>
    </row>
    <row r="844" spans="1:21" ht="30.6">
      <c r="A844" s="6">
        <v>43440.574074074073</v>
      </c>
      <c r="B844" s="7" t="str">
        <f>HYPERLINK("https://twitter.com/A_Jeute","@A_Jeute")</f>
        <v>@A_Jeute</v>
      </c>
      <c r="C844" s="8" t="s">
        <v>3136</v>
      </c>
      <c r="D844" s="9" t="s">
        <v>3137</v>
      </c>
      <c r="E844" s="10" t="str">
        <f>HYPERLINK("https://twitter.com/A_Jeute/status/1070660795007205376","1070660795007205376")</f>
        <v>1070660795007205376</v>
      </c>
      <c r="F844" s="15" t="s">
        <v>1001</v>
      </c>
      <c r="G844" s="16" t="s">
        <v>1002</v>
      </c>
      <c r="H844" s="11"/>
      <c r="I844" s="12">
        <v>0</v>
      </c>
      <c r="J844" s="12">
        <v>0</v>
      </c>
      <c r="K844" s="13" t="str">
        <f t="shared" si="197"/>
        <v>Twitter for Android</v>
      </c>
      <c r="L844" s="12">
        <v>1116</v>
      </c>
      <c r="M844" s="12">
        <v>291</v>
      </c>
      <c r="N844" s="12">
        <v>11</v>
      </c>
      <c r="O844" s="14"/>
      <c r="P844" s="6">
        <v>41322.676828703705</v>
      </c>
      <c r="Q844" s="15" t="s">
        <v>3138</v>
      </c>
      <c r="R844" s="17" t="s">
        <v>3139</v>
      </c>
      <c r="S844" s="11"/>
      <c r="T844" s="11"/>
      <c r="U844" s="10" t="str">
        <f>HYPERLINK("https://pbs.twimg.com/profile_images/995284116886245376/LSdHvo5D.jpg","View")</f>
        <v>View</v>
      </c>
    </row>
    <row r="845" spans="1:21" ht="40.799999999999997">
      <c r="A845" s="6">
        <v>43440.573391203703</v>
      </c>
      <c r="B845" s="7" t="str">
        <f>HYPERLINK("https://twitter.com/JJMadueno","@JJMadueno")</f>
        <v>@JJMadueno</v>
      </c>
      <c r="C845" s="8" t="s">
        <v>3140</v>
      </c>
      <c r="D845" s="9" t="s">
        <v>3141</v>
      </c>
      <c r="E845" s="10" t="str">
        <f>HYPERLINK("https://twitter.com/JJMadueno/status/1070660551305555968","1070660551305555968")</f>
        <v>1070660551305555968</v>
      </c>
      <c r="F845" s="16" t="s">
        <v>3142</v>
      </c>
      <c r="G845" s="11"/>
      <c r="H845" s="11"/>
      <c r="I845" s="12">
        <v>1</v>
      </c>
      <c r="J845" s="12">
        <v>2</v>
      </c>
      <c r="K845" s="13" t="str">
        <f>HYPERLINK("http://twitter.com/download/iphone","Twitter for iPhone")</f>
        <v>Twitter for iPhone</v>
      </c>
      <c r="L845" s="12">
        <v>1414</v>
      </c>
      <c r="M845" s="12">
        <v>1230</v>
      </c>
      <c r="N845" s="12">
        <v>58</v>
      </c>
      <c r="O845" s="14"/>
      <c r="P845" s="6">
        <v>40106.852731481486</v>
      </c>
      <c r="Q845" s="15" t="s">
        <v>3143</v>
      </c>
      <c r="R845" s="17" t="s">
        <v>3144</v>
      </c>
      <c r="S845" s="16" t="s">
        <v>3145</v>
      </c>
      <c r="T845" s="11"/>
      <c r="U845" s="10" t="str">
        <f>HYPERLINK("https://pbs.twimg.com/profile_images/739758131929096196/JWOgG6FE.jpg","View")</f>
        <v>View</v>
      </c>
    </row>
    <row r="846" spans="1:21" ht="20.399999999999999">
      <c r="A846" s="6">
        <v>43440.572696759264</v>
      </c>
      <c r="B846" s="7" t="str">
        <f>HYPERLINK("https://twitter.com/nomedesporculo1","@nomedesporculo1")</f>
        <v>@nomedesporculo1</v>
      </c>
      <c r="C846" s="8" t="s">
        <v>258</v>
      </c>
      <c r="D846" s="9" t="s">
        <v>3146</v>
      </c>
      <c r="E846" s="10" t="str">
        <f>HYPERLINK("https://twitter.com/nomedesporculo1/status/1070660298988773376","1070660298988773376")</f>
        <v>1070660298988773376</v>
      </c>
      <c r="F846" s="16" t="s">
        <v>3147</v>
      </c>
      <c r="G846" s="16" t="s">
        <v>3148</v>
      </c>
      <c r="H846" s="11"/>
      <c r="I846" s="12">
        <v>0</v>
      </c>
      <c r="J846" s="12">
        <v>1</v>
      </c>
      <c r="K846" s="13" t="str">
        <f>HYPERLINK("http://twitter.com","Twitter Web Client")</f>
        <v>Twitter Web Client</v>
      </c>
      <c r="L846" s="12">
        <v>452</v>
      </c>
      <c r="M846" s="12">
        <v>573</v>
      </c>
      <c r="N846" s="12">
        <v>1</v>
      </c>
      <c r="O846" s="14"/>
      <c r="P846" s="6">
        <v>43229.504178240742</v>
      </c>
      <c r="Q846" s="15" t="s">
        <v>197</v>
      </c>
      <c r="R846" s="17" t="s">
        <v>262</v>
      </c>
      <c r="S846" s="11"/>
      <c r="T846" s="11"/>
      <c r="U846" s="10" t="str">
        <f>HYPERLINK("https://pbs.twimg.com/profile_images/994246645255729152/cHfn_Hjl.jpg","View")</f>
        <v>View</v>
      </c>
    </row>
    <row r="847" spans="1:21" ht="40.799999999999997">
      <c r="A847" s="6">
        <v>43440.571064814816</v>
      </c>
      <c r="B847" s="7" t="str">
        <f>HYPERLINK("https://twitter.com/xaviboadavila","@xaviboadavila")</f>
        <v>@xaviboadavila</v>
      </c>
      <c r="C847" s="8" t="s">
        <v>3149</v>
      </c>
      <c r="D847" s="9" t="s">
        <v>3150</v>
      </c>
      <c r="E847" s="10" t="str">
        <f>HYPERLINK("https://twitter.com/xaviboadavila/status/1070659706761433088","1070659706761433088")</f>
        <v>1070659706761433088</v>
      </c>
      <c r="F847" s="11"/>
      <c r="G847" s="11"/>
      <c r="H847" s="11"/>
      <c r="I847" s="12">
        <v>1</v>
      </c>
      <c r="J847" s="12">
        <v>1</v>
      </c>
      <c r="K847" s="13" t="str">
        <f>HYPERLINK("http://twitter.com/download/iphone","Twitter for iPhone")</f>
        <v>Twitter for iPhone</v>
      </c>
      <c r="L847" s="12">
        <v>79814</v>
      </c>
      <c r="M847" s="12">
        <v>76937</v>
      </c>
      <c r="N847" s="12">
        <v>180</v>
      </c>
      <c r="O847" s="14"/>
      <c r="P847" s="6">
        <v>40919.726099537038</v>
      </c>
      <c r="Q847" s="15" t="s">
        <v>3151</v>
      </c>
      <c r="R847" s="17" t="s">
        <v>3152</v>
      </c>
      <c r="S847" s="16" t="s">
        <v>3153</v>
      </c>
      <c r="T847" s="11"/>
      <c r="U847" s="10" t="str">
        <f>HYPERLINK("https://pbs.twimg.com/profile_images/471964958322728960/7Yytgae6.jpeg","View")</f>
        <v>View</v>
      </c>
    </row>
    <row r="848" spans="1:21" ht="30.6">
      <c r="A848" s="6">
        <v>43440.569456018522</v>
      </c>
      <c r="B848" s="7" t="str">
        <f>HYPERLINK("https://twitter.com/ElAngelFacha","@ElAngelFacha")</f>
        <v>@ElAngelFacha</v>
      </c>
      <c r="C848" s="8" t="s">
        <v>246</v>
      </c>
      <c r="D848" s="9" t="s">
        <v>3154</v>
      </c>
      <c r="E848" s="10" t="str">
        <f>HYPERLINK("https://twitter.com/ElAngelFacha/status/1070659124730437632","1070659124730437632")</f>
        <v>1070659124730437632</v>
      </c>
      <c r="F848" s="16" t="s">
        <v>3155</v>
      </c>
      <c r="G848" s="11"/>
      <c r="H848" s="11"/>
      <c r="I848" s="12">
        <v>52</v>
      </c>
      <c r="J848" s="12">
        <v>63</v>
      </c>
      <c r="K848" s="13" t="str">
        <f>HYPERLINK("http://twitter.com","Twitter Web Client")</f>
        <v>Twitter Web Client</v>
      </c>
      <c r="L848" s="12">
        <v>1472</v>
      </c>
      <c r="M848" s="12">
        <v>2060</v>
      </c>
      <c r="N848" s="12">
        <v>4</v>
      </c>
      <c r="O848" s="14"/>
      <c r="P848" s="6">
        <v>42923.928784722222</v>
      </c>
      <c r="Q848" s="15" t="s">
        <v>249</v>
      </c>
      <c r="R848" s="17" t="s">
        <v>250</v>
      </c>
      <c r="S848" s="11"/>
      <c r="T848" s="11"/>
      <c r="U848" s="10" t="str">
        <f>HYPERLINK("https://pbs.twimg.com/profile_images/1068670609935208450/c84QvuV4.jpg","View")</f>
        <v>View</v>
      </c>
    </row>
    <row r="849" spans="1:21" ht="51">
      <c r="A849" s="6">
        <v>43440.569456018522</v>
      </c>
      <c r="B849" s="7" t="str">
        <f>HYPERLINK("https://twitter.com/FRANCIS67590251","@FRANCIS67590251")</f>
        <v>@FRANCIS67590251</v>
      </c>
      <c r="C849" s="8" t="s">
        <v>3156</v>
      </c>
      <c r="D849" s="9" t="s">
        <v>3157</v>
      </c>
      <c r="E849" s="10" t="str">
        <f>HYPERLINK("https://twitter.com/FRANCIS67590251/status/1070659122251685889","1070659122251685889")</f>
        <v>1070659122251685889</v>
      </c>
      <c r="F849" s="11"/>
      <c r="G849" s="11"/>
      <c r="H849" s="11"/>
      <c r="I849" s="12">
        <v>0</v>
      </c>
      <c r="J849" s="12">
        <v>0</v>
      </c>
      <c r="K849" s="13" t="str">
        <f>HYPERLINK("http://twitter.com/download/iphone","Twitter for iPhone")</f>
        <v>Twitter for iPhone</v>
      </c>
      <c r="L849" s="12">
        <v>69</v>
      </c>
      <c r="M849" s="12">
        <v>10</v>
      </c>
      <c r="N849" s="12">
        <v>0</v>
      </c>
      <c r="O849" s="14"/>
      <c r="P849" s="6">
        <v>43341.895937499998</v>
      </c>
      <c r="Q849" s="11"/>
      <c r="R849" s="18"/>
      <c r="S849" s="11"/>
      <c r="T849" s="11"/>
      <c r="U849" s="10" t="str">
        <f>HYPERLINK("https://pbs.twimg.com/profile_images/1061691479645667328/7ELM1EcG.jpg","View")</f>
        <v>View</v>
      </c>
    </row>
    <row r="850" spans="1:21" ht="20.399999999999999">
      <c r="A850" s="6">
        <v>43440.569201388891</v>
      </c>
      <c r="B850" s="7" t="str">
        <f>HYPERLINK("https://twitter.com/desamparadosb","@desamparadosb")</f>
        <v>@desamparadosb</v>
      </c>
      <c r="C850" s="8" t="s">
        <v>3158</v>
      </c>
      <c r="D850" s="9" t="s">
        <v>3159</v>
      </c>
      <c r="E850" s="10" t="str">
        <f>HYPERLINK("https://twitter.com/desamparadosb/status/1070659032623521792","1070659032623521792")</f>
        <v>1070659032623521792</v>
      </c>
      <c r="F850" s="11"/>
      <c r="G850" s="16" t="s">
        <v>3148</v>
      </c>
      <c r="H850" s="11"/>
      <c r="I850" s="12">
        <v>3</v>
      </c>
      <c r="J850" s="12">
        <v>3</v>
      </c>
      <c r="K850" s="13" t="str">
        <f t="shared" ref="K850:K852" si="198">HYPERLINK("http://twitter.com/download/android","Twitter for Android")</f>
        <v>Twitter for Android</v>
      </c>
      <c r="L850" s="12">
        <v>8883</v>
      </c>
      <c r="M850" s="12">
        <v>8773</v>
      </c>
      <c r="N850" s="12">
        <v>76</v>
      </c>
      <c r="O850" s="14"/>
      <c r="P850" s="6">
        <v>40588.655810185184</v>
      </c>
      <c r="Q850" s="15" t="s">
        <v>2263</v>
      </c>
      <c r="R850" s="17" t="s">
        <v>3160</v>
      </c>
      <c r="S850" s="11"/>
      <c r="T850" s="11"/>
      <c r="U850" s="10" t="str">
        <f>HYPERLINK("https://pbs.twimg.com/profile_images/1071316502400380929/GDjuUQlT.jpg","View")</f>
        <v>View</v>
      </c>
    </row>
    <row r="851" spans="1:21" ht="30.6">
      <c r="A851" s="6">
        <v>43440.567847222221</v>
      </c>
      <c r="B851" s="7" t="str">
        <f>HYPERLINK("https://twitter.com/Gata1_C","@Gata1_C")</f>
        <v>@Gata1_C</v>
      </c>
      <c r="C851" s="8" t="s">
        <v>251</v>
      </c>
      <c r="D851" s="9" t="s">
        <v>3161</v>
      </c>
      <c r="E851" s="10" t="str">
        <f>HYPERLINK("https://twitter.com/Gata1_C/status/1070658539276984320","1070658539276984320")</f>
        <v>1070658539276984320</v>
      </c>
      <c r="F851" s="11"/>
      <c r="G851" s="16" t="s">
        <v>3162</v>
      </c>
      <c r="H851" s="11"/>
      <c r="I851" s="12">
        <v>3</v>
      </c>
      <c r="J851" s="12">
        <v>1</v>
      </c>
      <c r="K851" s="13" t="str">
        <f t="shared" si="198"/>
        <v>Twitter for Android</v>
      </c>
      <c r="L851" s="12">
        <v>3876</v>
      </c>
      <c r="M851" s="12">
        <v>5000</v>
      </c>
      <c r="N851" s="12">
        <v>8</v>
      </c>
      <c r="O851" s="14"/>
      <c r="P851" s="6">
        <v>41393.042939814812</v>
      </c>
      <c r="Q851" s="15" t="s">
        <v>197</v>
      </c>
      <c r="R851" s="17" t="s">
        <v>253</v>
      </c>
      <c r="S851" s="11"/>
      <c r="T851" s="11"/>
      <c r="U851" s="10" t="str">
        <f>HYPERLINK("https://pbs.twimg.com/profile_images/1064357848287715333/GYr5W4W2.jpg","View")</f>
        <v>View</v>
      </c>
    </row>
    <row r="852" spans="1:21" ht="40.799999999999997">
      <c r="A852" s="6">
        <v>43440.566689814819</v>
      </c>
      <c r="B852" s="7" t="str">
        <f>HYPERLINK("https://twitter.com/elmancodeBacoor","@elmancodeBacoor")</f>
        <v>@elmancodeBacoor</v>
      </c>
      <c r="C852" s="8" t="s">
        <v>3163</v>
      </c>
      <c r="D852" s="9" t="s">
        <v>3164</v>
      </c>
      <c r="E852" s="10" t="str">
        <f>HYPERLINK("https://twitter.com/elmancodeBacoor/status/1070658119456444418","1070658119456444418")</f>
        <v>1070658119456444418</v>
      </c>
      <c r="F852" s="11"/>
      <c r="G852" s="16" t="s">
        <v>3165</v>
      </c>
      <c r="H852" s="11"/>
      <c r="I852" s="12">
        <v>0</v>
      </c>
      <c r="J852" s="12">
        <v>1</v>
      </c>
      <c r="K852" s="13" t="str">
        <f t="shared" si="198"/>
        <v>Twitter for Android</v>
      </c>
      <c r="L852" s="12">
        <v>281</v>
      </c>
      <c r="M852" s="12">
        <v>204</v>
      </c>
      <c r="N852" s="12">
        <v>2</v>
      </c>
      <c r="O852" s="14"/>
      <c r="P852" s="6">
        <v>41559.778368055559</v>
      </c>
      <c r="Q852" s="15" t="s">
        <v>3166</v>
      </c>
      <c r="R852" s="17" t="s">
        <v>3167</v>
      </c>
      <c r="S852" s="11"/>
      <c r="T852" s="11"/>
      <c r="U852" s="10" t="str">
        <f>HYPERLINK("https://pbs.twimg.com/profile_images/1069985177504493569/HjOdVQ8_.jpg","View")</f>
        <v>View</v>
      </c>
    </row>
    <row r="853" spans="1:21" ht="20.399999999999999">
      <c r="A853" s="6">
        <v>43440.56621527778</v>
      </c>
      <c r="B853" s="7" t="str">
        <f>HYPERLINK("https://twitter.com/Davirinik","@Davirinik")</f>
        <v>@Davirinik</v>
      </c>
      <c r="C853" s="8" t="s">
        <v>3168</v>
      </c>
      <c r="D853" s="9" t="s">
        <v>3169</v>
      </c>
      <c r="E853" s="10" t="str">
        <f>HYPERLINK("https://twitter.com/Davirinik/status/1070657948622442497","1070657948622442497")</f>
        <v>1070657948622442497</v>
      </c>
      <c r="F853" s="11"/>
      <c r="G853" s="11"/>
      <c r="H853" s="11"/>
      <c r="I853" s="12">
        <v>0</v>
      </c>
      <c r="J853" s="12">
        <v>2</v>
      </c>
      <c r="K853" s="13" t="str">
        <f>HYPERLINK("http://twitter.com/download/iphone","Twitter for iPhone")</f>
        <v>Twitter for iPhone</v>
      </c>
      <c r="L853" s="12">
        <v>216</v>
      </c>
      <c r="M853" s="12">
        <v>180</v>
      </c>
      <c r="N853" s="12">
        <v>3</v>
      </c>
      <c r="O853" s="14"/>
      <c r="P853" s="6">
        <v>40832.84715277778</v>
      </c>
      <c r="Q853" s="11"/>
      <c r="R853" s="17" t="s">
        <v>3170</v>
      </c>
      <c r="S853" s="11"/>
      <c r="T853" s="11"/>
      <c r="U853" s="10" t="str">
        <f>HYPERLINK("https://pbs.twimg.com/profile_images/625587516805120000/eiyvqN9g.jpg","View")</f>
        <v>View</v>
      </c>
    </row>
    <row r="854" spans="1:21" ht="30.6">
      <c r="A854" s="6">
        <v>43440.564340277779</v>
      </c>
      <c r="B854" s="7" t="str">
        <f>HYPERLINK("https://twitter.com/Nikolai83405355","@Nikolai83405355")</f>
        <v>@Nikolai83405355</v>
      </c>
      <c r="C854" s="8" t="s">
        <v>3171</v>
      </c>
      <c r="D854" s="9" t="s">
        <v>3172</v>
      </c>
      <c r="E854" s="10" t="str">
        <f>HYPERLINK("https://twitter.com/Nikolai83405355/status/1070657269149376518","1070657269149376518")</f>
        <v>1070657269149376518</v>
      </c>
      <c r="F854" s="11"/>
      <c r="G854" s="11"/>
      <c r="H854" s="11"/>
      <c r="I854" s="12">
        <v>0</v>
      </c>
      <c r="J854" s="12">
        <v>1</v>
      </c>
      <c r="K854" s="13" t="str">
        <f>HYPERLINK("http://twitter.com/download/android","Twitter for Android")</f>
        <v>Twitter for Android</v>
      </c>
      <c r="L854" s="12">
        <v>59</v>
      </c>
      <c r="M854" s="12">
        <v>66</v>
      </c>
      <c r="N854" s="12">
        <v>0</v>
      </c>
      <c r="O854" s="14"/>
      <c r="P854" s="6">
        <v>43279.76185185185</v>
      </c>
      <c r="Q854" s="11"/>
      <c r="R854" s="17" t="s">
        <v>3173</v>
      </c>
      <c r="S854" s="11"/>
      <c r="T854" s="11"/>
      <c r="U854" s="10" t="str">
        <f>HYPERLINK("https://pbs.twimg.com/profile_images/1012400786800857088/ws2v7ZMV.jpg","View")</f>
        <v>View</v>
      </c>
    </row>
    <row r="855" spans="1:21" ht="40.799999999999997">
      <c r="A855" s="6">
        <v>43440.563900462963</v>
      </c>
      <c r="B855" s="7" t="str">
        <f>HYPERLINK("https://twitter.com/AzoteRojos","@AzoteRojos")</f>
        <v>@AzoteRojos</v>
      </c>
      <c r="C855" s="8" t="s">
        <v>3174</v>
      </c>
      <c r="D855" s="9" t="s">
        <v>3175</v>
      </c>
      <c r="E855" s="10" t="str">
        <f>HYPERLINK("https://twitter.com/AzoteRojos/status/1070657111665840128","1070657111665840128")</f>
        <v>1070657111665840128</v>
      </c>
      <c r="F855" s="11"/>
      <c r="G855" s="11"/>
      <c r="H855" s="11"/>
      <c r="I855" s="12">
        <v>0</v>
      </c>
      <c r="J855" s="12">
        <v>0</v>
      </c>
      <c r="K855" s="13" t="str">
        <f t="shared" ref="K855:K856" si="199">HYPERLINK("http://twitter.com/download/iphone","Twitter for iPhone")</f>
        <v>Twitter for iPhone</v>
      </c>
      <c r="L855" s="12">
        <v>191</v>
      </c>
      <c r="M855" s="12">
        <v>502</v>
      </c>
      <c r="N855" s="12">
        <v>3</v>
      </c>
      <c r="O855" s="14"/>
      <c r="P855" s="6">
        <v>43253.474664351852</v>
      </c>
      <c r="Q855" s="15" t="s">
        <v>3176</v>
      </c>
      <c r="R855" s="17" t="s">
        <v>3177</v>
      </c>
      <c r="S855" s="11"/>
      <c r="T855" s="11"/>
      <c r="U855" s="10" t="str">
        <f>HYPERLINK("https://pbs.twimg.com/profile_images/1063752156161945601/pj3_nuhM.jpg","View")</f>
        <v>View</v>
      </c>
    </row>
    <row r="856" spans="1:21" ht="30.6">
      <c r="A856" s="6">
        <v>43440.563530092593</v>
      </c>
      <c r="B856" s="7" t="str">
        <f>HYPERLINK("https://twitter.com/dvargasp","@dvargasp")</f>
        <v>@dvargasp</v>
      </c>
      <c r="C856" s="8" t="s">
        <v>3178</v>
      </c>
      <c r="D856" s="9" t="s">
        <v>3179</v>
      </c>
      <c r="E856" s="10" t="str">
        <f>HYPERLINK("https://twitter.com/dvargasp/status/1070656973799075840","1070656973799075840")</f>
        <v>1070656973799075840</v>
      </c>
      <c r="F856" s="16" t="s">
        <v>3091</v>
      </c>
      <c r="G856" s="11"/>
      <c r="H856" s="11"/>
      <c r="I856" s="12">
        <v>0</v>
      </c>
      <c r="J856" s="12">
        <v>1</v>
      </c>
      <c r="K856" s="13" t="str">
        <f t="shared" si="199"/>
        <v>Twitter for iPhone</v>
      </c>
      <c r="L856" s="12">
        <v>174</v>
      </c>
      <c r="M856" s="12">
        <v>392</v>
      </c>
      <c r="N856" s="12">
        <v>10</v>
      </c>
      <c r="O856" s="14"/>
      <c r="P856" s="6">
        <v>40305.513958333337</v>
      </c>
      <c r="Q856" s="15" t="s">
        <v>197</v>
      </c>
      <c r="R856" s="17" t="s">
        <v>3180</v>
      </c>
      <c r="S856" s="11"/>
      <c r="T856" s="11"/>
      <c r="U856" s="10" t="str">
        <f>HYPERLINK("https://pbs.twimg.com/profile_images/501860954783879169/UHhd-At8.jpeg","View")</f>
        <v>View</v>
      </c>
    </row>
    <row r="857" spans="1:21" ht="51">
      <c r="A857" s="6">
        <v>43440.56114583333</v>
      </c>
      <c r="B857" s="7" t="str">
        <f>HYPERLINK("https://twitter.com/GPotela","@GPotela")</f>
        <v>@GPotela</v>
      </c>
      <c r="C857" s="8" t="s">
        <v>3181</v>
      </c>
      <c r="D857" s="9" t="s">
        <v>3182</v>
      </c>
      <c r="E857" s="10" t="str">
        <f>HYPERLINK("https://twitter.com/GPotela/status/1070656113706758144","1070656113706758144")</f>
        <v>1070656113706758144</v>
      </c>
      <c r="F857" s="11"/>
      <c r="G857" s="11"/>
      <c r="H857" s="11"/>
      <c r="I857" s="12">
        <v>0</v>
      </c>
      <c r="J857" s="12">
        <v>0</v>
      </c>
      <c r="K857" s="13" t="str">
        <f>HYPERLINK("https://mobile.twitter.com","Twitter Lite")</f>
        <v>Twitter Lite</v>
      </c>
      <c r="L857" s="12">
        <v>0</v>
      </c>
      <c r="M857" s="12">
        <v>0</v>
      </c>
      <c r="N857" s="12">
        <v>0</v>
      </c>
      <c r="O857" s="14"/>
      <c r="P857" s="6">
        <v>43398.939189814817</v>
      </c>
      <c r="Q857" s="11"/>
      <c r="R857" s="18"/>
      <c r="S857" s="11"/>
      <c r="T857" s="11"/>
      <c r="U857" s="23" t="s">
        <v>437</v>
      </c>
    </row>
    <row r="858" spans="1:21" ht="51">
      <c r="A858" s="6">
        <v>43440.55736111111</v>
      </c>
      <c r="B858" s="7" t="str">
        <f>HYPERLINK("https://twitter.com/CiudadanoEsp1","@CiudadanoEsp1")</f>
        <v>@CiudadanoEsp1</v>
      </c>
      <c r="C858" s="8" t="s">
        <v>3183</v>
      </c>
      <c r="D858" s="9" t="s">
        <v>3184</v>
      </c>
      <c r="E858" s="10" t="str">
        <f>HYPERLINK("https://twitter.com/CiudadanoEsp1/status/1070654739824697346","1070654739824697346")</f>
        <v>1070654739824697346</v>
      </c>
      <c r="F858" s="11"/>
      <c r="G858" s="16" t="s">
        <v>3185</v>
      </c>
      <c r="H858" s="11"/>
      <c r="I858" s="12">
        <v>5</v>
      </c>
      <c r="J858" s="12">
        <v>7</v>
      </c>
      <c r="K858" s="13" t="str">
        <f>HYPERLINK("http://twitter.com/download/iphone","Twitter for iPhone")</f>
        <v>Twitter for iPhone</v>
      </c>
      <c r="L858" s="12">
        <v>6056</v>
      </c>
      <c r="M858" s="12">
        <v>233</v>
      </c>
      <c r="N858" s="12">
        <v>33</v>
      </c>
      <c r="O858" s="14"/>
      <c r="P858" s="6">
        <v>41051.600115740745</v>
      </c>
      <c r="Q858" s="15" t="s">
        <v>954</v>
      </c>
      <c r="R858" s="17" t="s">
        <v>3186</v>
      </c>
      <c r="S858" s="11"/>
      <c r="T858" s="11"/>
      <c r="U858" s="10" t="str">
        <f>HYPERLINK("https://pbs.twimg.com/profile_images/1069637231109918720/lTP-gY_u.jpg","View")</f>
        <v>View</v>
      </c>
    </row>
    <row r="859" spans="1:21" ht="30.6">
      <c r="A859" s="6">
        <v>43440.554837962962</v>
      </c>
      <c r="B859" s="7" t="str">
        <f>HYPERLINK("https://twitter.com/L0nelyW0lf70","@L0nelyW0lf70")</f>
        <v>@L0nelyW0lf70</v>
      </c>
      <c r="C859" s="27" t="s">
        <v>1665</v>
      </c>
      <c r="D859" s="9" t="s">
        <v>3187</v>
      </c>
      <c r="E859" s="10" t="str">
        <f>HYPERLINK("https://twitter.com/L0nelyW0lf70/status/1070653825898504192","1070653825898504192")</f>
        <v>1070653825898504192</v>
      </c>
      <c r="F859" s="11"/>
      <c r="G859" s="16" t="s">
        <v>3188</v>
      </c>
      <c r="H859" s="11"/>
      <c r="I859" s="12">
        <v>2</v>
      </c>
      <c r="J859" s="12">
        <v>1</v>
      </c>
      <c r="K859" s="13" t="str">
        <f>HYPERLINK("http://twitter.com","Twitter Web Client")</f>
        <v>Twitter Web Client</v>
      </c>
      <c r="L859" s="12">
        <v>622</v>
      </c>
      <c r="M859" s="12">
        <v>849</v>
      </c>
      <c r="N859" s="12">
        <v>2</v>
      </c>
      <c r="O859" s="14"/>
      <c r="P859" s="6">
        <v>43335.887094907404</v>
      </c>
      <c r="Q859" s="15" t="s">
        <v>1669</v>
      </c>
      <c r="R859" s="17" t="s">
        <v>1670</v>
      </c>
      <c r="S859" s="11"/>
      <c r="T859" s="11"/>
      <c r="U859" s="10" t="str">
        <f>HYPERLINK("https://pbs.twimg.com/profile_images/1070321731607388160/YlBHEYkq.jpg","View")</f>
        <v>View</v>
      </c>
    </row>
    <row r="860" spans="1:21" ht="61.2">
      <c r="A860" s="6">
        <v>43440.553923611107</v>
      </c>
      <c r="B860" s="7" t="str">
        <f>HYPERLINK("https://twitter.com/AdrianCSalgado1","@AdrianCSalgado1")</f>
        <v>@AdrianCSalgado1</v>
      </c>
      <c r="C860" s="8" t="s">
        <v>3189</v>
      </c>
      <c r="D860" s="9" t="s">
        <v>3190</v>
      </c>
      <c r="E860" s="10" t="str">
        <f>HYPERLINK("https://twitter.com/AdrianCSalgado1/status/1070653495374696450","1070653495374696450")</f>
        <v>1070653495374696450</v>
      </c>
      <c r="F860" s="15" t="s">
        <v>3191</v>
      </c>
      <c r="G860" s="11"/>
      <c r="H860" s="11"/>
      <c r="I860" s="12">
        <v>0</v>
      </c>
      <c r="J860" s="12">
        <v>2</v>
      </c>
      <c r="K860" s="13" t="str">
        <f>HYPERLINK("http://twitter.com/download/android","Twitter for Android")</f>
        <v>Twitter for Android</v>
      </c>
      <c r="L860" s="12">
        <v>37</v>
      </c>
      <c r="M860" s="12">
        <v>109</v>
      </c>
      <c r="N860" s="12">
        <v>0</v>
      </c>
      <c r="O860" s="14"/>
      <c r="P860" s="6">
        <v>43440.536932870367</v>
      </c>
      <c r="Q860" s="15" t="s">
        <v>3192</v>
      </c>
      <c r="R860" s="17" t="s">
        <v>3193</v>
      </c>
      <c r="S860" s="11"/>
      <c r="T860" s="11"/>
      <c r="U860" s="10" t="str">
        <f>HYPERLINK("https://pbs.twimg.com/profile_images/1070649749395660806/5VRf07CJ.jpg","View")</f>
        <v>View</v>
      </c>
    </row>
    <row r="861" spans="1:21" ht="71.400000000000006">
      <c r="A861" s="6">
        <v>43440.553715277776</v>
      </c>
      <c r="B861" s="7" t="str">
        <f>HYPERLINK("https://twitter.com/sfleitas94","@sfleitas94")</f>
        <v>@sfleitas94</v>
      </c>
      <c r="C861" s="8" t="s">
        <v>3194</v>
      </c>
      <c r="D861" s="9" t="s">
        <v>3195</v>
      </c>
      <c r="E861" s="10" t="str">
        <f>HYPERLINK("https://twitter.com/sfleitas94/status/1070653417272565760","1070653417272565760")</f>
        <v>1070653417272565760</v>
      </c>
      <c r="F861" s="15" t="s">
        <v>1001</v>
      </c>
      <c r="G861" s="16" t="s">
        <v>1002</v>
      </c>
      <c r="H861" s="11"/>
      <c r="I861" s="12">
        <v>0</v>
      </c>
      <c r="J861" s="12">
        <v>1</v>
      </c>
      <c r="K861" s="13" t="str">
        <f>HYPERLINK("http://twitter.com/download/iphone","Twitter for iPhone")</f>
        <v>Twitter for iPhone</v>
      </c>
      <c r="L861" s="12">
        <v>112</v>
      </c>
      <c r="M861" s="12">
        <v>530</v>
      </c>
      <c r="N861" s="12">
        <v>1</v>
      </c>
      <c r="O861" s="14"/>
      <c r="P861" s="6">
        <v>43269.677199074074</v>
      </c>
      <c r="Q861" s="15" t="s">
        <v>2632</v>
      </c>
      <c r="R861" s="17" t="s">
        <v>3196</v>
      </c>
      <c r="S861" s="16" t="s">
        <v>3197</v>
      </c>
      <c r="T861" s="11"/>
      <c r="U861" s="10" t="str">
        <f>HYPERLINK("https://pbs.twimg.com/profile_images/1026099213959159808/Nrku-7n7.jpg","View")</f>
        <v>View</v>
      </c>
    </row>
    <row r="862" spans="1:21" ht="51">
      <c r="A862" s="6">
        <v>43440.550173611111</v>
      </c>
      <c r="B862" s="7" t="str">
        <f>HYPERLINK("https://twitter.com/vilpetrus","@vilpetrus")</f>
        <v>@vilpetrus</v>
      </c>
      <c r="C862" s="8" t="s">
        <v>3198</v>
      </c>
      <c r="D862" s="9" t="s">
        <v>3199</v>
      </c>
      <c r="E862" s="10" t="str">
        <f>HYPERLINK("https://twitter.com/vilpetrus/status/1070652136726380544","1070652136726380544")</f>
        <v>1070652136726380544</v>
      </c>
      <c r="F862" s="16" t="s">
        <v>3200</v>
      </c>
      <c r="G862" s="16" t="s">
        <v>3201</v>
      </c>
      <c r="H862" s="11"/>
      <c r="I862" s="12">
        <v>8</v>
      </c>
      <c r="J862" s="12">
        <v>3</v>
      </c>
      <c r="K862" s="13" t="str">
        <f>HYPERLINK("http://twitter.com/download/android","Twitter for Android")</f>
        <v>Twitter for Android</v>
      </c>
      <c r="L862" s="12">
        <v>5170</v>
      </c>
      <c r="M862" s="12">
        <v>4853</v>
      </c>
      <c r="N862" s="12">
        <v>191</v>
      </c>
      <c r="O862" s="14"/>
      <c r="P862" s="6">
        <v>41300.873043981483</v>
      </c>
      <c r="Q862" s="15" t="s">
        <v>3202</v>
      </c>
      <c r="R862" s="17" t="s">
        <v>3203</v>
      </c>
      <c r="S862" s="16" t="s">
        <v>3204</v>
      </c>
      <c r="T862" s="11"/>
      <c r="U862" s="10" t="str">
        <f>HYPERLINK("https://pbs.twimg.com/profile_images/957639207270408192/E1FJMYGk.jpg","View")</f>
        <v>View</v>
      </c>
    </row>
    <row r="863" spans="1:21" ht="20.399999999999999">
      <c r="A863" s="6">
        <v>43440.54954861111</v>
      </c>
      <c r="B863" s="7" t="str">
        <f>HYPERLINK("https://twitter.com/CwhRoss","@CwhRoss")</f>
        <v>@CwhRoss</v>
      </c>
      <c r="C863" s="8" t="s">
        <v>3205</v>
      </c>
      <c r="D863" s="9" t="s">
        <v>3206</v>
      </c>
      <c r="E863" s="10" t="str">
        <f>HYPERLINK("https://twitter.com/CwhRoss/status/1070651908623396865","1070651908623396865")</f>
        <v>1070651908623396865</v>
      </c>
      <c r="F863" s="16" t="s">
        <v>3207</v>
      </c>
      <c r="G863" s="11"/>
      <c r="H863" s="11"/>
      <c r="I863" s="12">
        <v>0</v>
      </c>
      <c r="J863" s="12">
        <v>0</v>
      </c>
      <c r="K863" s="13" t="str">
        <f>HYPERLINK("http://www.facebook.com/twitter","Facebook")</f>
        <v>Facebook</v>
      </c>
      <c r="L863" s="12">
        <v>170</v>
      </c>
      <c r="M863" s="12">
        <v>2</v>
      </c>
      <c r="N863" s="12">
        <v>45</v>
      </c>
      <c r="O863" s="14"/>
      <c r="P863" s="6">
        <v>41008.781701388885</v>
      </c>
      <c r="Q863" s="15" t="s">
        <v>3208</v>
      </c>
      <c r="R863" s="25" t="s">
        <v>3209</v>
      </c>
      <c r="S863" s="16" t="s">
        <v>3210</v>
      </c>
      <c r="T863" s="11"/>
      <c r="U863" s="10" t="str">
        <f>HYPERLINK("https://pbs.twimg.com/profile_images/2076887937/Copy_of_cerdo_con_maciza.jpg","View")</f>
        <v>View</v>
      </c>
    </row>
    <row r="864" spans="1:21" ht="40.799999999999997">
      <c r="A864" s="6">
        <v>43440.548622685186</v>
      </c>
      <c r="B864" s="7" t="str">
        <f>HYPERLINK("https://twitter.com/katymikhailova","@katymikhailova")</f>
        <v>@katymikhailova</v>
      </c>
      <c r="C864" s="8" t="s">
        <v>3211</v>
      </c>
      <c r="D864" s="9" t="s">
        <v>3212</v>
      </c>
      <c r="E864" s="10" t="str">
        <f>HYPERLINK("https://twitter.com/katymikhailova/status/1070651574244888576","1070651574244888576")</f>
        <v>1070651574244888576</v>
      </c>
      <c r="F864" s="16" t="s">
        <v>3213</v>
      </c>
      <c r="G864" s="11"/>
      <c r="H864" s="11"/>
      <c r="I864" s="12">
        <v>0</v>
      </c>
      <c r="J864" s="12">
        <v>0</v>
      </c>
      <c r="K864" s="13" t="str">
        <f>HYPERLINK("http://instagram.com","Instagram")</f>
        <v>Instagram</v>
      </c>
      <c r="L864" s="12">
        <v>3581</v>
      </c>
      <c r="M864" s="12">
        <v>2076</v>
      </c>
      <c r="N864" s="12">
        <v>84</v>
      </c>
      <c r="O864" s="14"/>
      <c r="P864" s="6">
        <v>40427.892488425925</v>
      </c>
      <c r="Q864" s="15" t="s">
        <v>3214</v>
      </c>
      <c r="R864" s="17" t="s">
        <v>3215</v>
      </c>
      <c r="S864" s="16" t="s">
        <v>3216</v>
      </c>
      <c r="T864" s="11"/>
      <c r="U864" s="10" t="str">
        <f>HYPERLINK("https://pbs.twimg.com/profile_images/1069740206042087424/Mj7qSZ9V.jpg","View")</f>
        <v>View</v>
      </c>
    </row>
    <row r="865" spans="1:21" ht="20.399999999999999">
      <c r="A865" s="6">
        <v>43440.548101851848</v>
      </c>
      <c r="B865" s="7" t="str">
        <f>HYPERLINK("https://twitter.com/Yuyiroquai","@Yuyiroquai")</f>
        <v>@Yuyiroquai</v>
      </c>
      <c r="C865" s="8" t="s">
        <v>3217</v>
      </c>
      <c r="D865" s="9" t="s">
        <v>3218</v>
      </c>
      <c r="E865" s="10" t="str">
        <f>HYPERLINK("https://twitter.com/Yuyiroquai/status/1070651386646462464","1070651386646462464")</f>
        <v>1070651386646462464</v>
      </c>
      <c r="F865" s="16" t="s">
        <v>2992</v>
      </c>
      <c r="G865" s="11"/>
      <c r="H865" s="11"/>
      <c r="I865" s="12">
        <v>0</v>
      </c>
      <c r="J865" s="12">
        <v>0</v>
      </c>
      <c r="K865" s="13" t="str">
        <f>HYPERLINK("http://twitter.com","Twitter Web Client")</f>
        <v>Twitter Web Client</v>
      </c>
      <c r="L865" s="12">
        <v>31</v>
      </c>
      <c r="M865" s="12">
        <v>300</v>
      </c>
      <c r="N865" s="12">
        <v>1</v>
      </c>
      <c r="O865" s="14"/>
      <c r="P865" s="6">
        <v>40535.078136574077</v>
      </c>
      <c r="Q865" s="15" t="s">
        <v>3219</v>
      </c>
      <c r="R865" s="17" t="s">
        <v>3220</v>
      </c>
      <c r="S865" s="11"/>
      <c r="T865" s="11"/>
      <c r="U865" s="10" t="str">
        <f>HYPERLINK("https://pbs.twimg.com/profile_images/509063280359268352/OFAAikpz.jpeg","View")</f>
        <v>View</v>
      </c>
    </row>
    <row r="866" spans="1:21" ht="61.2">
      <c r="A866" s="6">
        <v>43440.54310185185</v>
      </c>
      <c r="B866" s="7" t="str">
        <f>HYPERLINK("https://twitter.com/aingoi","@aingoi")</f>
        <v>@aingoi</v>
      </c>
      <c r="C866" s="8" t="s">
        <v>3221</v>
      </c>
      <c r="D866" s="9" t="s">
        <v>3222</v>
      </c>
      <c r="E866" s="10" t="str">
        <f>HYPERLINK("https://twitter.com/aingoi/status/1070649573381615617","1070649573381615617")</f>
        <v>1070649573381615617</v>
      </c>
      <c r="F866" s="11"/>
      <c r="G866" s="16" t="s">
        <v>3223</v>
      </c>
      <c r="H866" s="11"/>
      <c r="I866" s="12">
        <v>4</v>
      </c>
      <c r="J866" s="12">
        <v>6</v>
      </c>
      <c r="K866" s="13" t="str">
        <f>HYPERLINK("http://twitter.com/download/iphone","Twitter for iPhone")</f>
        <v>Twitter for iPhone</v>
      </c>
      <c r="L866" s="12">
        <v>734</v>
      </c>
      <c r="M866" s="12">
        <v>559</v>
      </c>
      <c r="N866" s="12">
        <v>15</v>
      </c>
      <c r="O866" s="14"/>
      <c r="P866" s="6">
        <v>41564.923645833333</v>
      </c>
      <c r="Q866" s="15" t="s">
        <v>197</v>
      </c>
      <c r="R866" s="17" t="s">
        <v>3224</v>
      </c>
      <c r="S866" s="16" t="s">
        <v>3225</v>
      </c>
      <c r="T866" s="11"/>
      <c r="U866" s="10" t="str">
        <f>HYPERLINK("https://pbs.twimg.com/profile_images/840117772734541825/39aiqkK8.jpg","View")</f>
        <v>View</v>
      </c>
    </row>
    <row r="867" spans="1:21" ht="51">
      <c r="A867" s="6">
        <v>43440.542129629626</v>
      </c>
      <c r="B867" s="7" t="str">
        <f>HYPERLINK("https://twitter.com/SquanchyElGato","@SquanchyElGato")</f>
        <v>@SquanchyElGato</v>
      </c>
      <c r="C867" s="8" t="s">
        <v>3226</v>
      </c>
      <c r="D867" s="9" t="s">
        <v>3227</v>
      </c>
      <c r="E867" s="10" t="str">
        <f>HYPERLINK("https://twitter.com/SquanchyElGato/status/1070649220854628352","1070649220854628352")</f>
        <v>1070649220854628352</v>
      </c>
      <c r="F867" s="11"/>
      <c r="G867" s="16" t="s">
        <v>3228</v>
      </c>
      <c r="H867" s="11"/>
      <c r="I867" s="12">
        <v>0</v>
      </c>
      <c r="J867" s="12">
        <v>1</v>
      </c>
      <c r="K867" s="13" t="str">
        <f>HYPERLINK("http://twitter.com","Twitter Web Client")</f>
        <v>Twitter Web Client</v>
      </c>
      <c r="L867" s="12">
        <v>62</v>
      </c>
      <c r="M867" s="12">
        <v>89</v>
      </c>
      <c r="N867" s="12">
        <v>1</v>
      </c>
      <c r="O867" s="14"/>
      <c r="P867" s="6">
        <v>43082.915405092594</v>
      </c>
      <c r="Q867" s="11"/>
      <c r="R867" s="17" t="s">
        <v>3229</v>
      </c>
      <c r="S867" s="11"/>
      <c r="T867" s="11"/>
      <c r="U867" s="10" t="str">
        <f>HYPERLINK("https://pbs.twimg.com/profile_images/1067795932199165952/w66jucdQ.jpg","View")</f>
        <v>View</v>
      </c>
    </row>
    <row r="868" spans="1:21" ht="40.799999999999997">
      <c r="A868" s="6">
        <v>43440.540590277778</v>
      </c>
      <c r="B868" s="7" t="str">
        <f>HYPERLINK("https://twitter.com/vox_es","@vox_es")</f>
        <v>@vox_es</v>
      </c>
      <c r="C868" s="8" t="s">
        <v>3230</v>
      </c>
      <c r="D868" s="9" t="s">
        <v>3231</v>
      </c>
      <c r="E868" s="10" t="str">
        <f>HYPERLINK("https://twitter.com/vox_es/status/1070648664102748162","1070648664102748162")</f>
        <v>1070648664102748162</v>
      </c>
      <c r="F868" s="11"/>
      <c r="G868" s="16" t="s">
        <v>1144</v>
      </c>
      <c r="H868" s="11"/>
      <c r="I868" s="12">
        <v>1762</v>
      </c>
      <c r="J868" s="12">
        <v>3366</v>
      </c>
      <c r="K868" s="13" t="str">
        <f t="shared" ref="K868:K870" si="200">HYPERLINK("http://twitter.com/download/android","Twitter for Android")</f>
        <v>Twitter for Android</v>
      </c>
      <c r="L868" s="12">
        <v>147920</v>
      </c>
      <c r="M868" s="12">
        <v>937</v>
      </c>
      <c r="N868" s="12">
        <v>988</v>
      </c>
      <c r="O868" s="23" t="s">
        <v>89</v>
      </c>
      <c r="P868" s="6">
        <v>41596.746655092589</v>
      </c>
      <c r="Q868" s="11"/>
      <c r="R868" s="17" t="s">
        <v>3232</v>
      </c>
      <c r="S868" s="16" t="s">
        <v>1740</v>
      </c>
      <c r="T868" s="11"/>
      <c r="U868" s="10" t="str">
        <f>HYPERLINK("https://pbs.twimg.com/profile_images/1016653788617363456/m3b3jqW5.jpg","View")</f>
        <v>View</v>
      </c>
    </row>
    <row r="869" spans="1:21" ht="51">
      <c r="A869" s="6">
        <v>43440.54011574074</v>
      </c>
      <c r="B869" s="7" t="str">
        <f>HYPERLINK("https://twitter.com/_23Sergio","@_23Sergio")</f>
        <v>@_23Sergio</v>
      </c>
      <c r="C869" s="8" t="s">
        <v>3233</v>
      </c>
      <c r="D869" s="9" t="s">
        <v>3234</v>
      </c>
      <c r="E869" s="10" t="str">
        <f>HYPERLINK("https://twitter.com/_23Sergio/status/1070648492559872000","1070648492559872000")</f>
        <v>1070648492559872000</v>
      </c>
      <c r="F869" s="11"/>
      <c r="G869" s="16" t="s">
        <v>3235</v>
      </c>
      <c r="H869" s="11"/>
      <c r="I869" s="12">
        <v>4</v>
      </c>
      <c r="J869" s="12">
        <v>5</v>
      </c>
      <c r="K869" s="13" t="str">
        <f t="shared" si="200"/>
        <v>Twitter for Android</v>
      </c>
      <c r="L869" s="12">
        <v>1344</v>
      </c>
      <c r="M869" s="12">
        <v>1825</v>
      </c>
      <c r="N869" s="12">
        <v>12</v>
      </c>
      <c r="O869" s="14"/>
      <c r="P869" s="6">
        <v>40503.781458333331</v>
      </c>
      <c r="Q869" s="15" t="s">
        <v>3236</v>
      </c>
      <c r="R869" s="17" t="s">
        <v>3237</v>
      </c>
      <c r="S869" s="11"/>
      <c r="T869" s="11"/>
      <c r="U869" s="10" t="str">
        <f>HYPERLINK("https://pbs.twimg.com/profile_images/959348744822157312/wUGKBFb3.jpg","View")</f>
        <v>View</v>
      </c>
    </row>
    <row r="870" spans="1:21" ht="51">
      <c r="A870" s="6">
        <v>43440.534861111111</v>
      </c>
      <c r="B870" s="7" t="str">
        <f>HYPERLINK("https://twitter.com/psolidaridad","@psolidaridad")</f>
        <v>@psolidaridad</v>
      </c>
      <c r="C870" s="8" t="s">
        <v>159</v>
      </c>
      <c r="D870" s="9" t="s">
        <v>3238</v>
      </c>
      <c r="E870" s="10" t="str">
        <f>HYPERLINK("https://twitter.com/psolidaridad/status/1070646588186472448","1070646588186472448")</f>
        <v>1070646588186472448</v>
      </c>
      <c r="F870" s="16" t="s">
        <v>3239</v>
      </c>
      <c r="G870" s="11"/>
      <c r="H870" s="11"/>
      <c r="I870" s="12">
        <v>1</v>
      </c>
      <c r="J870" s="12">
        <v>1</v>
      </c>
      <c r="K870" s="13" t="str">
        <f t="shared" si="200"/>
        <v>Twitter for Android</v>
      </c>
      <c r="L870" s="12">
        <v>1623</v>
      </c>
      <c r="M870" s="12">
        <v>4841</v>
      </c>
      <c r="N870" s="12">
        <v>1</v>
      </c>
      <c r="O870" s="14"/>
      <c r="P870" s="6">
        <v>41803.502372685187</v>
      </c>
      <c r="Q870" s="11"/>
      <c r="R870" s="17" t="s">
        <v>162</v>
      </c>
      <c r="S870" s="11"/>
      <c r="T870" s="11"/>
      <c r="U870" s="10" t="str">
        <f>HYPERLINK("https://pbs.twimg.com/profile_images/1030394358397317120/oQ0F2vnz.jpg","View")</f>
        <v>View</v>
      </c>
    </row>
    <row r="871" spans="1:21" ht="51">
      <c r="A871" s="6">
        <v>43440.530532407407</v>
      </c>
      <c r="B871" s="7" t="str">
        <f>HYPERLINK("https://twitter.com/migueltomas_","@migueltomas_")</f>
        <v>@migueltomas_</v>
      </c>
      <c r="C871" s="8" t="s">
        <v>3240</v>
      </c>
      <c r="D871" s="9" t="s">
        <v>3241</v>
      </c>
      <c r="E871" s="10" t="str">
        <f>HYPERLINK("https://twitter.com/migueltomas_/status/1070645016454930433","1070645016454930433")</f>
        <v>1070645016454930433</v>
      </c>
      <c r="F871" s="16" t="s">
        <v>3242</v>
      </c>
      <c r="G871" s="11"/>
      <c r="H871" s="11"/>
      <c r="I871" s="12">
        <v>1</v>
      </c>
      <c r="J871" s="12">
        <v>4</v>
      </c>
      <c r="K871" s="13" t="str">
        <f>HYPERLINK("https://mobile.twitter.com","Twitter Lite")</f>
        <v>Twitter Lite</v>
      </c>
      <c r="L871" s="12">
        <v>1593</v>
      </c>
      <c r="M871" s="12">
        <v>1543</v>
      </c>
      <c r="N871" s="12">
        <v>12</v>
      </c>
      <c r="O871" s="14"/>
      <c r="P871" s="6">
        <v>39693.54451388889</v>
      </c>
      <c r="Q871" s="15" t="s">
        <v>197</v>
      </c>
      <c r="R871" s="17" t="s">
        <v>3243</v>
      </c>
      <c r="S871" s="11"/>
      <c r="T871" s="11"/>
      <c r="U871" s="10" t="str">
        <f>HYPERLINK("https://pbs.twimg.com/profile_images/986634271724113920/1txlAuJY.jpg","View")</f>
        <v>View</v>
      </c>
    </row>
    <row r="872" spans="1:21" ht="40.799999999999997">
      <c r="A872" s="6">
        <v>43440.529756944445</v>
      </c>
      <c r="B872" s="7" t="str">
        <f>HYPERLINK("https://twitter.com/paupbn","@paupbn")</f>
        <v>@paupbn</v>
      </c>
      <c r="C872" s="8" t="s">
        <v>3244</v>
      </c>
      <c r="D872" s="9" t="s">
        <v>3245</v>
      </c>
      <c r="E872" s="10" t="str">
        <f>HYPERLINK("https://twitter.com/paupbn/status/1070644735914766336","1070644735914766336")</f>
        <v>1070644735914766336</v>
      </c>
      <c r="F872" s="11"/>
      <c r="G872" s="11"/>
      <c r="H872" s="11"/>
      <c r="I872" s="12">
        <v>0</v>
      </c>
      <c r="J872" s="12">
        <v>0</v>
      </c>
      <c r="K872" s="13" t="str">
        <f>HYPERLINK("http://twitter.com","Twitter Web Client")</f>
        <v>Twitter Web Client</v>
      </c>
      <c r="L872" s="12">
        <v>321</v>
      </c>
      <c r="M872" s="12">
        <v>135</v>
      </c>
      <c r="N872" s="12">
        <v>6</v>
      </c>
      <c r="O872" s="14"/>
      <c r="P872" s="6">
        <v>41018.7580787037</v>
      </c>
      <c r="Q872" s="15" t="s">
        <v>3247</v>
      </c>
      <c r="R872" s="17" t="s">
        <v>3248</v>
      </c>
      <c r="S872" s="11"/>
      <c r="T872" s="11"/>
      <c r="U872" s="10" t="str">
        <f>HYPERLINK("https://pbs.twimg.com/profile_images/995324969755308032/NzJJB-hu.jpg","View")</f>
        <v>View</v>
      </c>
    </row>
    <row r="873" spans="1:21" ht="20.399999999999999">
      <c r="A873" s="6">
        <v>43440.529212962967</v>
      </c>
      <c r="B873" s="7" t="str">
        <f>HYPERLINK("https://twitter.com/BeatMiro","@BeatMiro")</f>
        <v>@BeatMiro</v>
      </c>
      <c r="C873" s="8" t="s">
        <v>1210</v>
      </c>
      <c r="D873" s="9" t="s">
        <v>3250</v>
      </c>
      <c r="E873" s="10" t="str">
        <f>HYPERLINK("https://twitter.com/BeatMiro/status/1070644541408063488","1070644541408063488")</f>
        <v>1070644541408063488</v>
      </c>
      <c r="F873" s="16" t="s">
        <v>3252</v>
      </c>
      <c r="G873" s="16" t="s">
        <v>3253</v>
      </c>
      <c r="H873" s="11"/>
      <c r="I873" s="12">
        <v>0</v>
      </c>
      <c r="J873" s="12">
        <v>0</v>
      </c>
      <c r="K873" s="13" t="str">
        <f t="shared" ref="K873:K874" si="201">HYPERLINK("http://twitter.com/download/iphone","Twitter for iPhone")</f>
        <v>Twitter for iPhone</v>
      </c>
      <c r="L873" s="12">
        <v>2992</v>
      </c>
      <c r="M873" s="12">
        <v>2903</v>
      </c>
      <c r="N873" s="12">
        <v>18</v>
      </c>
      <c r="O873" s="14"/>
      <c r="P873" s="6">
        <v>41356.816400462965</v>
      </c>
      <c r="Q873" s="15" t="s">
        <v>1213</v>
      </c>
      <c r="R873" s="17" t="s">
        <v>1214</v>
      </c>
      <c r="S873" s="11"/>
      <c r="T873" s="11"/>
      <c r="U873" s="10" t="str">
        <f>HYPERLINK("https://pbs.twimg.com/profile_images/944911380146094080/-rIHGHi6.jpg","View")</f>
        <v>View</v>
      </c>
    </row>
    <row r="874" spans="1:21" ht="30.6">
      <c r="A874" s="6">
        <v>43440.527638888889</v>
      </c>
      <c r="B874" s="7" t="str">
        <f>HYPERLINK("https://twitter.com/ynometutee","@ynometutee")</f>
        <v>@ynometutee</v>
      </c>
      <c r="C874" s="8" t="s">
        <v>3254</v>
      </c>
      <c r="D874" s="9" t="s">
        <v>3255</v>
      </c>
      <c r="E874" s="10" t="str">
        <f>HYPERLINK("https://twitter.com/ynometutee/status/1070643968868839424","1070643968868839424")</f>
        <v>1070643968868839424</v>
      </c>
      <c r="F874" s="11"/>
      <c r="G874" s="16" t="s">
        <v>3256</v>
      </c>
      <c r="H874" s="11"/>
      <c r="I874" s="12">
        <v>0</v>
      </c>
      <c r="J874" s="12">
        <v>0</v>
      </c>
      <c r="K874" s="13" t="str">
        <f t="shared" si="201"/>
        <v>Twitter for iPhone</v>
      </c>
      <c r="L874" s="12">
        <v>42</v>
      </c>
      <c r="M874" s="12">
        <v>168</v>
      </c>
      <c r="N874" s="12">
        <v>1</v>
      </c>
      <c r="O874" s="14"/>
      <c r="P874" s="6">
        <v>42962.452372685184</v>
      </c>
      <c r="Q874" s="15" t="s">
        <v>2024</v>
      </c>
      <c r="R874" s="17" t="s">
        <v>3257</v>
      </c>
      <c r="S874" s="11"/>
      <c r="T874" s="11"/>
      <c r="U874" s="10" t="str">
        <f>HYPERLINK("https://pbs.twimg.com/profile_images/897384268825022467/US0PIyLC.jpg","View")</f>
        <v>View</v>
      </c>
    </row>
    <row r="875" spans="1:21" ht="71.400000000000006">
      <c r="A875" s="6">
        <v>43440.527060185181</v>
      </c>
      <c r="B875" s="7" t="str">
        <f>HYPERLINK("https://twitter.com/Jimenezribera","@Jimenezribera")</f>
        <v>@Jimenezribera</v>
      </c>
      <c r="C875" s="8" t="s">
        <v>47</v>
      </c>
      <c r="D875" s="9" t="s">
        <v>3258</v>
      </c>
      <c r="E875" s="10" t="str">
        <f>HYPERLINK("https://twitter.com/Jimenezribera/status/1070643759837315072","1070643759837315072")</f>
        <v>1070643759837315072</v>
      </c>
      <c r="F875" s="16" t="s">
        <v>2670</v>
      </c>
      <c r="G875" s="16" t="s">
        <v>2671</v>
      </c>
      <c r="H875" s="11"/>
      <c r="I875" s="12">
        <v>1</v>
      </c>
      <c r="J875" s="12">
        <v>6</v>
      </c>
      <c r="K875" s="13" t="str">
        <f t="shared" ref="K875:K877" si="202">HYPERLINK("http://twitter.com/download/android","Twitter for Android")</f>
        <v>Twitter for Android</v>
      </c>
      <c r="L875" s="12">
        <v>116</v>
      </c>
      <c r="M875" s="12">
        <v>237</v>
      </c>
      <c r="N875" s="12">
        <v>0</v>
      </c>
      <c r="O875" s="14"/>
      <c r="P875" s="6">
        <v>41436.031238425923</v>
      </c>
      <c r="Q875" s="11"/>
      <c r="R875" s="18"/>
      <c r="S875" s="11"/>
      <c r="T875" s="11"/>
      <c r="U875" s="10" t="str">
        <f>HYPERLINK("https://pbs.twimg.com/profile_images/970670813656567808/_2TaCwo2.jpg","View")</f>
        <v>View</v>
      </c>
    </row>
    <row r="876" spans="1:21" ht="40.799999999999997">
      <c r="A876" s="6">
        <v>43440.526562500003</v>
      </c>
      <c r="B876" s="7" t="str">
        <f>HYPERLINK("https://twitter.com/denunciaseguros","@denunciaseguros")</f>
        <v>@denunciaseguros</v>
      </c>
      <c r="C876" s="8" t="s">
        <v>3259</v>
      </c>
      <c r="D876" s="9" t="s">
        <v>3260</v>
      </c>
      <c r="E876" s="10" t="str">
        <f>HYPERLINK("https://twitter.com/denunciaseguros/status/1070643578198724610","1070643578198724610")</f>
        <v>1070643578198724610</v>
      </c>
      <c r="F876" s="11"/>
      <c r="G876" s="11"/>
      <c r="H876" s="11"/>
      <c r="I876" s="12">
        <v>0</v>
      </c>
      <c r="J876" s="12">
        <v>0</v>
      </c>
      <c r="K876" s="13" t="str">
        <f t="shared" si="202"/>
        <v>Twitter for Android</v>
      </c>
      <c r="L876" s="12">
        <v>2764</v>
      </c>
      <c r="M876" s="12">
        <v>3317</v>
      </c>
      <c r="N876" s="12">
        <v>13</v>
      </c>
      <c r="O876" s="14"/>
      <c r="P876" s="6">
        <v>40719.063425925924</v>
      </c>
      <c r="Q876" s="15" t="s">
        <v>3261</v>
      </c>
      <c r="R876" s="17" t="s">
        <v>3262</v>
      </c>
      <c r="S876" s="11"/>
      <c r="T876" s="11"/>
      <c r="U876" s="10" t="str">
        <f>HYPERLINK("https://pbs.twimg.com/profile_images/977204700360724480/dWxwQvVX.jpg","View")</f>
        <v>View</v>
      </c>
    </row>
    <row r="877" spans="1:21" ht="13.2">
      <c r="A877" s="6">
        <v>43440.52375</v>
      </c>
      <c r="B877" s="7" t="str">
        <f>HYPERLINK("https://twitter.com/franchescorubio","@franchescorubio")</f>
        <v>@franchescorubio</v>
      </c>
      <c r="C877" s="8" t="s">
        <v>3263</v>
      </c>
      <c r="D877" s="9" t="s">
        <v>3264</v>
      </c>
      <c r="E877" s="10" t="str">
        <f>HYPERLINK("https://twitter.com/franchescorubio/status/1070642558903173120","1070642558903173120")</f>
        <v>1070642558903173120</v>
      </c>
      <c r="F877" s="11"/>
      <c r="G877" s="16" t="s">
        <v>3265</v>
      </c>
      <c r="H877" s="11"/>
      <c r="I877" s="12">
        <v>0</v>
      </c>
      <c r="J877" s="12">
        <v>0</v>
      </c>
      <c r="K877" s="13" t="str">
        <f t="shared" si="202"/>
        <v>Twitter for Android</v>
      </c>
      <c r="L877" s="12">
        <v>488</v>
      </c>
      <c r="M877" s="12">
        <v>678</v>
      </c>
      <c r="N877" s="12">
        <v>6</v>
      </c>
      <c r="O877" s="14"/>
      <c r="P877" s="6">
        <v>40766.73060185185</v>
      </c>
      <c r="Q877" s="15" t="s">
        <v>3266</v>
      </c>
      <c r="R877" s="17" t="s">
        <v>3267</v>
      </c>
      <c r="S877" s="11"/>
      <c r="T877" s="11"/>
      <c r="U877" s="10" t="str">
        <f>HYPERLINK("https://pbs.twimg.com/profile_images/1068520536290975747/XSFqzqjO.jpg","View")</f>
        <v>View</v>
      </c>
    </row>
    <row r="878" spans="1:21" ht="81.599999999999994">
      <c r="A878" s="6">
        <v>43440.522187499999</v>
      </c>
      <c r="B878" s="7" t="str">
        <f>HYPERLINK("https://twitter.com/ElDoctorMabuse","@ElDoctorMabuse")</f>
        <v>@ElDoctorMabuse</v>
      </c>
      <c r="C878" s="8" t="s">
        <v>2707</v>
      </c>
      <c r="D878" s="9" t="s">
        <v>3268</v>
      </c>
      <c r="E878" s="10" t="str">
        <f>HYPERLINK("https://twitter.com/ElDoctorMabuse/status/1070641992990896128","1070641992990896128")</f>
        <v>1070641992990896128</v>
      </c>
      <c r="F878" s="15" t="s">
        <v>3269</v>
      </c>
      <c r="G878" s="11"/>
      <c r="H878" s="11"/>
      <c r="I878" s="12">
        <v>0</v>
      </c>
      <c r="J878" s="12">
        <v>0</v>
      </c>
      <c r="K878" s="13" t="str">
        <f>HYPERLINK("http://twitter.com/#!/download/ipad","Twitter for iPad")</f>
        <v>Twitter for iPad</v>
      </c>
      <c r="L878" s="12">
        <v>250</v>
      </c>
      <c r="M878" s="12">
        <v>555</v>
      </c>
      <c r="N878" s="12">
        <v>11</v>
      </c>
      <c r="O878" s="14"/>
      <c r="P878" s="6">
        <v>40273.293067129627</v>
      </c>
      <c r="Q878" s="15" t="s">
        <v>2710</v>
      </c>
      <c r="R878" s="17" t="s">
        <v>2711</v>
      </c>
      <c r="S878" s="16" t="s">
        <v>2712</v>
      </c>
      <c r="T878" s="11"/>
      <c r="U878" s="10" t="str">
        <f>HYPERLINK("https://pbs.twimg.com/profile_images/442391428069879808/46XrmQAl.jpeg","View")</f>
        <v>View</v>
      </c>
    </row>
    <row r="879" spans="1:21" ht="51">
      <c r="A879" s="6">
        <v>43440.521643518514</v>
      </c>
      <c r="B879" s="7" t="str">
        <f>HYPERLINK("https://twitter.com/Ke_Les_Den","@Ke_Les_Den")</f>
        <v>@Ke_Les_Den</v>
      </c>
      <c r="C879" s="8" t="s">
        <v>599</v>
      </c>
      <c r="D879" s="9" t="s">
        <v>3270</v>
      </c>
      <c r="E879" s="10" t="str">
        <f>HYPERLINK("https://twitter.com/Ke_Les_Den/status/1070641797087588353","1070641797087588353")</f>
        <v>1070641797087588353</v>
      </c>
      <c r="F879" s="15" t="s">
        <v>3271</v>
      </c>
      <c r="G879" s="11"/>
      <c r="H879" s="11"/>
      <c r="I879" s="12">
        <v>0</v>
      </c>
      <c r="J879" s="12">
        <v>1</v>
      </c>
      <c r="K879" s="13" t="str">
        <f t="shared" ref="K879:K880" si="203">HYPERLINK("http://twitter.com/download/android","Twitter for Android")</f>
        <v>Twitter for Android</v>
      </c>
      <c r="L879" s="12">
        <v>862</v>
      </c>
      <c r="M879" s="12">
        <v>1970</v>
      </c>
      <c r="N879" s="12">
        <v>1</v>
      </c>
      <c r="O879" s="14"/>
      <c r="P879" s="6">
        <v>42849.633483796293</v>
      </c>
      <c r="Q879" s="11"/>
      <c r="R879" s="17" t="s">
        <v>602</v>
      </c>
      <c r="S879" s="11"/>
      <c r="T879" s="11"/>
      <c r="U879" s="10" t="str">
        <f>HYPERLINK("https://pbs.twimg.com/profile_images/856777751755358208/AquT2MXe.jpg","View")</f>
        <v>View</v>
      </c>
    </row>
    <row r="880" spans="1:21" ht="40.799999999999997">
      <c r="A880" s="6">
        <v>43440.518414351856</v>
      </c>
      <c r="B880" s="7" t="str">
        <f>HYPERLINK("https://twitter.com/adivinaconmedia","@adivinaconmedia")</f>
        <v>@adivinaconmedia</v>
      </c>
      <c r="C880" s="8" t="s">
        <v>3272</v>
      </c>
      <c r="D880" s="9" t="s">
        <v>3273</v>
      </c>
      <c r="E880" s="10" t="str">
        <f>HYPERLINK("https://twitter.com/adivinaconmedia/status/1070640626331467777","1070640626331467777")</f>
        <v>1070640626331467777</v>
      </c>
      <c r="F880" s="11"/>
      <c r="G880" s="16" t="s">
        <v>3274</v>
      </c>
      <c r="H880" s="11"/>
      <c r="I880" s="12">
        <v>1</v>
      </c>
      <c r="J880" s="12">
        <v>0</v>
      </c>
      <c r="K880" s="13" t="str">
        <f t="shared" si="203"/>
        <v>Twitter for Android</v>
      </c>
      <c r="L880" s="12">
        <v>2741</v>
      </c>
      <c r="M880" s="12">
        <v>611</v>
      </c>
      <c r="N880" s="12">
        <v>27</v>
      </c>
      <c r="O880" s="14"/>
      <c r="P880" s="6">
        <v>41902.88853009259</v>
      </c>
      <c r="Q880" s="15" t="s">
        <v>197</v>
      </c>
      <c r="R880" s="17" t="s">
        <v>3275</v>
      </c>
      <c r="S880" s="11"/>
      <c r="T880" s="11"/>
      <c r="U880" s="10" t="str">
        <f>HYPERLINK("https://pbs.twimg.com/profile_images/882923028786536448/2p1-UhyV.jpg","View")</f>
        <v>View</v>
      </c>
    </row>
    <row r="881" spans="1:21" ht="51">
      <c r="A881" s="6">
        <v>43440.516747685186</v>
      </c>
      <c r="B881" s="7" t="str">
        <f t="shared" ref="B881:B882" si="204">HYPERLINK("https://twitter.com/EuprepioPadula","@EuprepioPadula")</f>
        <v>@EuprepioPadula</v>
      </c>
      <c r="C881" s="8" t="s">
        <v>3276</v>
      </c>
      <c r="D881" s="9" t="s">
        <v>3277</v>
      </c>
      <c r="E881" s="10" t="str">
        <f>HYPERLINK("https://twitter.com/EuprepioPadula/status/1070640022683090946","1070640022683090946")</f>
        <v>1070640022683090946</v>
      </c>
      <c r="F881" s="16" t="s">
        <v>3278</v>
      </c>
      <c r="G881" s="11"/>
      <c r="H881" s="11"/>
      <c r="I881" s="12">
        <v>2</v>
      </c>
      <c r="J881" s="12">
        <v>2</v>
      </c>
      <c r="K881" s="13" t="str">
        <f>HYPERLINK("http://twitter.com/download/iphone","Twitter for iPhone")</f>
        <v>Twitter for iPhone</v>
      </c>
      <c r="L881" s="12">
        <v>26840</v>
      </c>
      <c r="M881" s="12">
        <v>4787</v>
      </c>
      <c r="N881" s="12">
        <v>206</v>
      </c>
      <c r="O881" s="14"/>
      <c r="P881" s="6">
        <v>40597.615810185183</v>
      </c>
      <c r="Q881" s="15" t="s">
        <v>3279</v>
      </c>
      <c r="R881" s="17" t="s">
        <v>3280</v>
      </c>
      <c r="S881" s="16" t="s">
        <v>3281</v>
      </c>
      <c r="T881" s="11"/>
      <c r="U881" s="10" t="str">
        <f t="shared" ref="U881:U882" si="205">HYPERLINK("https://pbs.twimg.com/profile_images/995924613053009920/RfycKwjT.jpg","View")</f>
        <v>View</v>
      </c>
    </row>
    <row r="882" spans="1:21" ht="40.799999999999997">
      <c r="A882" s="6">
        <v>43440.51626157407</v>
      </c>
      <c r="B882" s="7" t="str">
        <f t="shared" si="204"/>
        <v>@EuprepioPadula</v>
      </c>
      <c r="C882" s="8" t="s">
        <v>3276</v>
      </c>
      <c r="D882" s="9" t="s">
        <v>3282</v>
      </c>
      <c r="E882" s="10" t="str">
        <f>HYPERLINK("https://twitter.com/EuprepioPadula/status/1070639847201796096","1070639847201796096")</f>
        <v>1070639847201796096</v>
      </c>
      <c r="F882" s="16" t="s">
        <v>3278</v>
      </c>
      <c r="G882" s="11"/>
      <c r="H882" s="11"/>
      <c r="I882" s="12">
        <v>0</v>
      </c>
      <c r="J882" s="12">
        <v>0</v>
      </c>
      <c r="K882" s="13" t="str">
        <f>HYPERLINK("http://www.facebook.com/twitter","Facebook")</f>
        <v>Facebook</v>
      </c>
      <c r="L882" s="12">
        <v>26840</v>
      </c>
      <c r="M882" s="12">
        <v>4787</v>
      </c>
      <c r="N882" s="12">
        <v>206</v>
      </c>
      <c r="O882" s="14"/>
      <c r="P882" s="6">
        <v>40597.615810185183</v>
      </c>
      <c r="Q882" s="15" t="s">
        <v>3279</v>
      </c>
      <c r="R882" s="17" t="s">
        <v>3280</v>
      </c>
      <c r="S882" s="16" t="s">
        <v>3281</v>
      </c>
      <c r="T882" s="11"/>
      <c r="U882" s="10" t="str">
        <f t="shared" si="205"/>
        <v>View</v>
      </c>
    </row>
    <row r="883" spans="1:21" ht="71.400000000000006">
      <c r="A883" s="6">
        <v>43440.514745370368</v>
      </c>
      <c r="B883" s="7" t="str">
        <f>HYPERLINK("https://twitter.com/cruzverde_","@cruzverde_")</f>
        <v>@cruzverde_</v>
      </c>
      <c r="C883" s="8" t="s">
        <v>1296</v>
      </c>
      <c r="D883" s="9" t="s">
        <v>3283</v>
      </c>
      <c r="E883" s="10" t="str">
        <f>HYPERLINK("https://twitter.com/cruzverde_/status/1070639296095363072","1070639296095363072")</f>
        <v>1070639296095363072</v>
      </c>
      <c r="F883" s="16" t="s">
        <v>3284</v>
      </c>
      <c r="G883" s="16" t="s">
        <v>3285</v>
      </c>
      <c r="H883" s="11"/>
      <c r="I883" s="12">
        <v>5</v>
      </c>
      <c r="J883" s="12">
        <v>3</v>
      </c>
      <c r="K883" s="13" t="str">
        <f>HYPERLINK("http://twitter.com","Twitter Web Client")</f>
        <v>Twitter Web Client</v>
      </c>
      <c r="L883" s="12">
        <v>1499</v>
      </c>
      <c r="M883" s="12">
        <v>2672</v>
      </c>
      <c r="N883" s="12">
        <v>40</v>
      </c>
      <c r="O883" s="14"/>
      <c r="P883" s="6">
        <v>40163.003703703704</v>
      </c>
      <c r="Q883" s="11"/>
      <c r="R883" s="17" t="s">
        <v>1300</v>
      </c>
      <c r="S883" s="16" t="s">
        <v>1301</v>
      </c>
      <c r="T883" s="11"/>
      <c r="U883" s="10" t="str">
        <f>HYPERLINK("https://pbs.twimg.com/profile_images/1784494170/AvatarRRSS.jpg","View")</f>
        <v>View</v>
      </c>
    </row>
    <row r="884" spans="1:21" ht="40.799999999999997">
      <c r="A884" s="6">
        <v>43440.514247685191</v>
      </c>
      <c r="B884" s="7" t="str">
        <f>HYPERLINK("https://twitter.com/Pedrobayonas1","@Pedrobayonas1")</f>
        <v>@Pedrobayonas1</v>
      </c>
      <c r="C884" s="8" t="s">
        <v>3286</v>
      </c>
      <c r="D884" s="9" t="s">
        <v>3287</v>
      </c>
      <c r="E884" s="10" t="str">
        <f>HYPERLINK("https://twitter.com/Pedrobayonas1/status/1070639114276560897","1070639114276560897")</f>
        <v>1070639114276560897</v>
      </c>
      <c r="F884" s="11"/>
      <c r="G884" s="16" t="s">
        <v>3288</v>
      </c>
      <c r="H884" s="11"/>
      <c r="I884" s="12">
        <v>25</v>
      </c>
      <c r="J884" s="12">
        <v>52</v>
      </c>
      <c r="K884" s="13" t="str">
        <f>HYPERLINK("http://twitter.com/download/iphone","Twitter for iPhone")</f>
        <v>Twitter for iPhone</v>
      </c>
      <c r="L884" s="12">
        <v>244</v>
      </c>
      <c r="M884" s="12">
        <v>206</v>
      </c>
      <c r="N884" s="12">
        <v>2</v>
      </c>
      <c r="O884" s="14"/>
      <c r="P884" s="6">
        <v>43184.661851851852</v>
      </c>
      <c r="Q884" s="11"/>
      <c r="R884" s="17" t="s">
        <v>3289</v>
      </c>
      <c r="S884" s="11"/>
      <c r="T884" s="11"/>
      <c r="U884" s="10" t="str">
        <f>HYPERLINK("https://pbs.twimg.com/profile_images/1032571234800807939/Lj2sowPF.jpg","View")</f>
        <v>View</v>
      </c>
    </row>
    <row r="885" spans="1:21" ht="51">
      <c r="A885" s="6">
        <v>43440.513854166667</v>
      </c>
      <c r="B885" s="7" t="str">
        <f>HYPERLINK("https://twitter.com/merzouga2","@merzouga2")</f>
        <v>@merzouga2</v>
      </c>
      <c r="C885" s="8" t="s">
        <v>3290</v>
      </c>
      <c r="D885" s="9" t="s">
        <v>3291</v>
      </c>
      <c r="E885" s="10" t="str">
        <f>HYPERLINK("https://twitter.com/merzouga2/status/1070638973893120000","1070638973893120000")</f>
        <v>1070638973893120000</v>
      </c>
      <c r="F885" s="11"/>
      <c r="G885" s="11"/>
      <c r="H885" s="11"/>
      <c r="I885" s="12">
        <v>0</v>
      </c>
      <c r="J885" s="12">
        <v>1</v>
      </c>
      <c r="K885" s="13" t="str">
        <f>HYPERLINK("http://twitter.com/#!/download/ipad","Twitter for iPad")</f>
        <v>Twitter for iPad</v>
      </c>
      <c r="L885" s="12">
        <v>44</v>
      </c>
      <c r="M885" s="12">
        <v>153</v>
      </c>
      <c r="N885" s="12">
        <v>0</v>
      </c>
      <c r="O885" s="14"/>
      <c r="P885" s="6">
        <v>40316.335081018522</v>
      </c>
      <c r="Q885" s="15" t="s">
        <v>3292</v>
      </c>
      <c r="R885" s="17" t="s">
        <v>3293</v>
      </c>
      <c r="S885" s="11"/>
      <c r="T885" s="11"/>
      <c r="U885" s="10" t="str">
        <f>HYPERLINK("https://pbs.twimg.com/profile_images/914381975812702208/hw1fN7WB.jpg","View")</f>
        <v>View</v>
      </c>
    </row>
    <row r="886" spans="1:21" ht="51">
      <c r="A886" s="6">
        <v>43440.513159722221</v>
      </c>
      <c r="B886" s="7" t="str">
        <f>HYPERLINK("https://twitter.com/Vityspain","@Vityspain")</f>
        <v>@Vityspain</v>
      </c>
      <c r="C886" s="8" t="s">
        <v>1661</v>
      </c>
      <c r="D886" s="9" t="s">
        <v>3294</v>
      </c>
      <c r="E886" s="10" t="str">
        <f>HYPERLINK("https://twitter.com/Vityspain/status/1070638723728109568","1070638723728109568")</f>
        <v>1070638723728109568</v>
      </c>
      <c r="F886" s="16" t="s">
        <v>1663</v>
      </c>
      <c r="G886" s="11"/>
      <c r="H886" s="11"/>
      <c r="I886" s="12">
        <v>0</v>
      </c>
      <c r="J886" s="12">
        <v>0</v>
      </c>
      <c r="K886" s="13" t="str">
        <f>HYPERLINK("http://twitter.com/download/android","Twitter for Android")</f>
        <v>Twitter for Android</v>
      </c>
      <c r="L886" s="12">
        <v>2159</v>
      </c>
      <c r="M886" s="12">
        <v>2129</v>
      </c>
      <c r="N886" s="12">
        <v>46</v>
      </c>
      <c r="O886" s="14"/>
      <c r="P886" s="6">
        <v>40530.921736111108</v>
      </c>
      <c r="Q886" s="15" t="s">
        <v>197</v>
      </c>
      <c r="R886" s="17" t="s">
        <v>1664</v>
      </c>
      <c r="S886" s="11"/>
      <c r="T886" s="11"/>
      <c r="U886" s="10" t="str">
        <f>HYPERLINK("https://pbs.twimg.com/profile_images/1071414131906019328/A5h9O2aJ.jpg","View")</f>
        <v>View</v>
      </c>
    </row>
    <row r="887" spans="1:21" ht="20.399999999999999">
      <c r="A887" s="6">
        <v>43440.512592592597</v>
      </c>
      <c r="B887" s="7" t="str">
        <f>HYPERLINK("https://twitter.com/ConBocaPrestada","@ConBocaPrestada")</f>
        <v>@ConBocaPrestada</v>
      </c>
      <c r="C887" s="8" t="s">
        <v>3295</v>
      </c>
      <c r="D887" s="9" t="s">
        <v>3296</v>
      </c>
      <c r="E887" s="10" t="str">
        <f>HYPERLINK("https://twitter.com/ConBocaPrestada/status/1070638515715801090","1070638515715801090")</f>
        <v>1070638515715801090</v>
      </c>
      <c r="F887" s="11"/>
      <c r="G887" s="11"/>
      <c r="H887" s="11"/>
      <c r="I887" s="12">
        <v>0</v>
      </c>
      <c r="J887" s="12">
        <v>0</v>
      </c>
      <c r="K887" s="13" t="str">
        <f>HYPERLINK("http://twitter.com/#!/download/ipad","Twitter for iPad")</f>
        <v>Twitter for iPad</v>
      </c>
      <c r="L887" s="12">
        <v>0</v>
      </c>
      <c r="M887" s="12">
        <v>0</v>
      </c>
      <c r="N887" s="12">
        <v>0</v>
      </c>
      <c r="O887" s="14"/>
      <c r="P887" s="6">
        <v>43440.496689814812</v>
      </c>
      <c r="Q887" s="15" t="s">
        <v>197</v>
      </c>
      <c r="R887" s="18"/>
      <c r="S887" s="11"/>
      <c r="T887" s="11"/>
      <c r="U887" s="10" t="str">
        <f>HYPERLINK("https://pbs.twimg.com/profile_images/1070640694031761408/wrMz6o3v.jpg","View")</f>
        <v>View</v>
      </c>
    </row>
    <row r="888" spans="1:21" ht="51">
      <c r="A888" s="6">
        <v>43440.512523148151</v>
      </c>
      <c r="B888" s="7" t="str">
        <f>HYPERLINK("https://twitter.com/Vityspain","@Vityspain")</f>
        <v>@Vityspain</v>
      </c>
      <c r="C888" s="8" t="s">
        <v>1661</v>
      </c>
      <c r="D888" s="9" t="s">
        <v>3297</v>
      </c>
      <c r="E888" s="10" t="str">
        <f>HYPERLINK("https://twitter.com/Vityspain/status/1070638490642190341","1070638490642190341")</f>
        <v>1070638490642190341</v>
      </c>
      <c r="F888" s="16" t="s">
        <v>2524</v>
      </c>
      <c r="G888" s="11"/>
      <c r="H888" s="11"/>
      <c r="I888" s="12">
        <v>1</v>
      </c>
      <c r="J888" s="12">
        <v>1</v>
      </c>
      <c r="K888" s="13" t="str">
        <f>HYPERLINK("http://twitter.com/download/android","Twitter for Android")</f>
        <v>Twitter for Android</v>
      </c>
      <c r="L888" s="12">
        <v>2159</v>
      </c>
      <c r="M888" s="12">
        <v>2129</v>
      </c>
      <c r="N888" s="12">
        <v>46</v>
      </c>
      <c r="O888" s="14"/>
      <c r="P888" s="6">
        <v>40530.921736111108</v>
      </c>
      <c r="Q888" s="15" t="s">
        <v>197</v>
      </c>
      <c r="R888" s="17" t="s">
        <v>1664</v>
      </c>
      <c r="S888" s="11"/>
      <c r="T888" s="11"/>
      <c r="U888" s="10" t="str">
        <f>HYPERLINK("https://pbs.twimg.com/profile_images/1071414131906019328/A5h9O2aJ.jpg","View")</f>
        <v>View</v>
      </c>
    </row>
    <row r="889" spans="1:21" ht="20.399999999999999">
      <c r="A889" s="6">
        <v>43440.511932870373</v>
      </c>
      <c r="B889" s="7" t="str">
        <f>HYPERLINK("https://twitter.com/elhuron2","@elhuron2")</f>
        <v>@elhuron2</v>
      </c>
      <c r="C889" s="8" t="s">
        <v>3298</v>
      </c>
      <c r="D889" s="9" t="s">
        <v>3299</v>
      </c>
      <c r="E889" s="10" t="str">
        <f>HYPERLINK("https://twitter.com/elhuron2/status/1070638277395443713","1070638277395443713")</f>
        <v>1070638277395443713</v>
      </c>
      <c r="F889" s="16" t="s">
        <v>3300</v>
      </c>
      <c r="G889" s="11"/>
      <c r="H889" s="11"/>
      <c r="I889" s="12">
        <v>0</v>
      </c>
      <c r="J889" s="12">
        <v>0</v>
      </c>
      <c r="K889" s="13" t="str">
        <f>HYPERLINK("https://www.google.com/","Google")</f>
        <v>Google</v>
      </c>
      <c r="L889" s="12">
        <v>412</v>
      </c>
      <c r="M889" s="12">
        <v>501</v>
      </c>
      <c r="N889" s="12">
        <v>6</v>
      </c>
      <c r="O889" s="14"/>
      <c r="P889" s="6">
        <v>41869.952997685185</v>
      </c>
      <c r="Q889" s="15" t="s">
        <v>3301</v>
      </c>
      <c r="R889" s="17" t="s">
        <v>3302</v>
      </c>
      <c r="S889" s="16" t="s">
        <v>3303</v>
      </c>
      <c r="T889" s="11"/>
      <c r="U889" s="10" t="str">
        <f>HYPERLINK("https://pbs.twimg.com/profile_images/803176150629515264/heYiZScX.jpg","View")</f>
        <v>View</v>
      </c>
    </row>
    <row r="890" spans="1:21" ht="51">
      <c r="A890" s="6">
        <v>43440.510324074072</v>
      </c>
      <c r="B890" s="7" t="str">
        <f>HYPERLINK("https://twitter.com/AlejandraElberg","@AlejandraElberg")</f>
        <v>@AlejandraElberg</v>
      </c>
      <c r="C890" s="8" t="s">
        <v>3304</v>
      </c>
      <c r="D890" s="9" t="s">
        <v>3305</v>
      </c>
      <c r="E890" s="10" t="str">
        <f>HYPERLINK("https://twitter.com/AlejandraElberg/status/1070637692461953024","1070637692461953024")</f>
        <v>1070637692461953024</v>
      </c>
      <c r="F890" s="11"/>
      <c r="G890" s="11"/>
      <c r="H890" s="11"/>
      <c r="I890" s="12">
        <v>1</v>
      </c>
      <c r="J890" s="12">
        <v>1</v>
      </c>
      <c r="K890" s="13" t="str">
        <f t="shared" ref="K890:K894" si="206">HYPERLINK("http://twitter.com/download/android","Twitter for Android")</f>
        <v>Twitter for Android</v>
      </c>
      <c r="L890" s="12">
        <v>413</v>
      </c>
      <c r="M890" s="12">
        <v>1090</v>
      </c>
      <c r="N890" s="12">
        <v>0</v>
      </c>
      <c r="O890" s="14"/>
      <c r="P890" s="6">
        <v>42889.63753472222</v>
      </c>
      <c r="Q890" s="11"/>
      <c r="R890" s="17" t="s">
        <v>3306</v>
      </c>
      <c r="S890" s="11"/>
      <c r="T890" s="11"/>
      <c r="U890" s="10" t="str">
        <f>HYPERLINK("https://pbs.twimg.com/profile_images/877550199723495425/KPzojNyt.jpg","View")</f>
        <v>View</v>
      </c>
    </row>
    <row r="891" spans="1:21" ht="51">
      <c r="A891" s="6">
        <v>43440.508611111116</v>
      </c>
      <c r="B891" s="7" t="str">
        <f>HYPERLINK("https://twitter.com/es_kiQe","@es_kiQe")</f>
        <v>@es_kiQe</v>
      </c>
      <c r="C891" s="8" t="s">
        <v>3307</v>
      </c>
      <c r="D891" s="9" t="s">
        <v>3308</v>
      </c>
      <c r="E891" s="10" t="str">
        <f>HYPERLINK("https://twitter.com/es_kiQe/status/1070637074347368448","1070637074347368448")</f>
        <v>1070637074347368448</v>
      </c>
      <c r="F891" s="16" t="s">
        <v>1568</v>
      </c>
      <c r="G891" s="11"/>
      <c r="H891" s="11"/>
      <c r="I891" s="12">
        <v>0</v>
      </c>
      <c r="J891" s="12">
        <v>0</v>
      </c>
      <c r="K891" s="13" t="str">
        <f t="shared" si="206"/>
        <v>Twitter for Android</v>
      </c>
      <c r="L891" s="12">
        <v>124</v>
      </c>
      <c r="M891" s="12">
        <v>735</v>
      </c>
      <c r="N891" s="12">
        <v>6</v>
      </c>
      <c r="O891" s="14"/>
      <c r="P891" s="6">
        <v>40811.470856481479</v>
      </c>
      <c r="Q891" s="15" t="s">
        <v>612</v>
      </c>
      <c r="R891" s="17" t="s">
        <v>3309</v>
      </c>
      <c r="S891" s="11"/>
      <c r="T891" s="11"/>
      <c r="U891" s="10" t="str">
        <f>HYPERLINK("https://pbs.twimg.com/profile_images/691204600423120897/skOTakrU.jpg","View")</f>
        <v>View</v>
      </c>
    </row>
    <row r="892" spans="1:21" ht="51">
      <c r="A892" s="6">
        <v>43440.508379629631</v>
      </c>
      <c r="B892" s="7" t="str">
        <f>HYPERLINK("https://twitter.com/Muriel_Rot","@Muriel_Rot")</f>
        <v>@Muriel_Rot</v>
      </c>
      <c r="C892" s="8" t="s">
        <v>3310</v>
      </c>
      <c r="D892" s="9" t="s">
        <v>3311</v>
      </c>
      <c r="E892" s="10" t="str">
        <f>HYPERLINK("https://twitter.com/Muriel_Rot/status/1070636988485767169","1070636988485767169")</f>
        <v>1070636988485767169</v>
      </c>
      <c r="F892" s="11"/>
      <c r="G892" s="11"/>
      <c r="H892" s="11"/>
      <c r="I892" s="12">
        <v>0</v>
      </c>
      <c r="J892" s="12">
        <v>0</v>
      </c>
      <c r="K892" s="13" t="str">
        <f t="shared" si="206"/>
        <v>Twitter for Android</v>
      </c>
      <c r="L892" s="12">
        <v>2445</v>
      </c>
      <c r="M892" s="12">
        <v>1684</v>
      </c>
      <c r="N892" s="12">
        <v>28</v>
      </c>
      <c r="O892" s="14"/>
      <c r="P892" s="6">
        <v>40921.429594907408</v>
      </c>
      <c r="Q892" s="15" t="s">
        <v>197</v>
      </c>
      <c r="R892" s="17" t="s">
        <v>3312</v>
      </c>
      <c r="S892" s="11"/>
      <c r="T892" s="11"/>
      <c r="U892" s="10" t="str">
        <f>HYPERLINK("https://pbs.twimg.com/profile_images/531718380206948352/cfSL6DBr.jpeg","View")</f>
        <v>View</v>
      </c>
    </row>
    <row r="893" spans="1:21" ht="40.799999999999997">
      <c r="A893" s="6">
        <v>43440.507488425923</v>
      </c>
      <c r="B893" s="7" t="str">
        <f>HYPERLINK("https://twitter.com/Molecutron","@Molecutron")</f>
        <v>@Molecutron</v>
      </c>
      <c r="C893" s="8" t="s">
        <v>3313</v>
      </c>
      <c r="D893" s="9" t="s">
        <v>3314</v>
      </c>
      <c r="E893" s="10" t="str">
        <f>HYPERLINK("https://twitter.com/Molecutron/status/1070636665889320960","1070636665889320960")</f>
        <v>1070636665889320960</v>
      </c>
      <c r="F893" s="15" t="s">
        <v>3315</v>
      </c>
      <c r="G893" s="11"/>
      <c r="H893" s="11"/>
      <c r="I893" s="12">
        <v>0</v>
      </c>
      <c r="J893" s="12">
        <v>0</v>
      </c>
      <c r="K893" s="13" t="str">
        <f t="shared" si="206"/>
        <v>Twitter for Android</v>
      </c>
      <c r="L893" s="12">
        <v>255</v>
      </c>
      <c r="M893" s="12">
        <v>881</v>
      </c>
      <c r="N893" s="12">
        <v>2</v>
      </c>
      <c r="O893" s="14"/>
      <c r="P893" s="6">
        <v>41031.666585648149</v>
      </c>
      <c r="Q893" s="11"/>
      <c r="R893" s="17" t="s">
        <v>3316</v>
      </c>
      <c r="S893" s="11"/>
      <c r="T893" s="11"/>
      <c r="U893" s="10" t="str">
        <f>HYPERLINK("https://pbs.twimg.com/profile_images/2545745869/Las_20Rozas_20de_20Madrid-20120826-00106.jpg","View")</f>
        <v>View</v>
      </c>
    </row>
    <row r="894" spans="1:21" ht="61.2">
      <c r="A894" s="6">
        <v>43440.506018518514</v>
      </c>
      <c r="B894" s="7" t="str">
        <f>HYPERLINK("https://twitter.com/vgm1974","@vgm1974")</f>
        <v>@vgm1974</v>
      </c>
      <c r="C894" s="8" t="s">
        <v>3317</v>
      </c>
      <c r="D894" s="9" t="s">
        <v>3318</v>
      </c>
      <c r="E894" s="10" t="str">
        <f>HYPERLINK("https://twitter.com/vgm1974/status/1070636132369608704","1070636132369608704")</f>
        <v>1070636132369608704</v>
      </c>
      <c r="F894" s="11"/>
      <c r="G894" s="16" t="s">
        <v>3319</v>
      </c>
      <c r="H894" s="11"/>
      <c r="I894" s="12">
        <v>0</v>
      </c>
      <c r="J894" s="12">
        <v>0</v>
      </c>
      <c r="K894" s="13" t="str">
        <f t="shared" si="206"/>
        <v>Twitter for Android</v>
      </c>
      <c r="L894" s="12">
        <v>115</v>
      </c>
      <c r="M894" s="12">
        <v>518</v>
      </c>
      <c r="N894" s="12">
        <v>0</v>
      </c>
      <c r="O894" s="14"/>
      <c r="P894" s="6">
        <v>43002.732430555552</v>
      </c>
      <c r="Q894" s="11"/>
      <c r="R894" s="18"/>
      <c r="S894" s="11"/>
      <c r="T894" s="11"/>
      <c r="U894" s="10" t="str">
        <f>HYPERLINK("https://pbs.twimg.com/profile_images/1059557285150801920/R_uRAIPP.jpg","View")</f>
        <v>View</v>
      </c>
    </row>
    <row r="895" spans="1:21" ht="40.799999999999997">
      <c r="A895" s="6">
        <v>43440.505995370375</v>
      </c>
      <c r="B895" s="7" t="str">
        <f>HYPERLINK("https://twitter.com/bruselensewp","@bruselensewp")</f>
        <v>@bruselensewp</v>
      </c>
      <c r="C895" s="8" t="s">
        <v>3320</v>
      </c>
      <c r="D895" s="9" t="s">
        <v>3321</v>
      </c>
      <c r="E895" s="10" t="str">
        <f>HYPERLINK("https://twitter.com/bruselensewp/status/1070636124031328257","1070636124031328257")</f>
        <v>1070636124031328257</v>
      </c>
      <c r="F895" s="11"/>
      <c r="G895" s="16" t="s">
        <v>3322</v>
      </c>
      <c r="H895" s="11"/>
      <c r="I895" s="12">
        <v>0</v>
      </c>
      <c r="J895" s="12">
        <v>0</v>
      </c>
      <c r="K895" s="13" t="str">
        <f>HYPERLINK("http://twitter.com","Twitter Web Client")</f>
        <v>Twitter Web Client</v>
      </c>
      <c r="L895" s="12">
        <v>150</v>
      </c>
      <c r="M895" s="12">
        <v>98</v>
      </c>
      <c r="N895" s="12">
        <v>1</v>
      </c>
      <c r="O895" s="14"/>
      <c r="P895" s="6">
        <v>41340.937511574077</v>
      </c>
      <c r="Q895" s="15" t="s">
        <v>3323</v>
      </c>
      <c r="R895" s="17" t="s">
        <v>3324</v>
      </c>
      <c r="S895" s="16" t="s">
        <v>3325</v>
      </c>
      <c r="T895" s="11"/>
      <c r="U895" s="10" t="str">
        <f>HYPERLINK("https://pbs.twimg.com/profile_images/3350934277/55bc07c1013ebdec5689f8e31b8adf6c.jpeg","View")</f>
        <v>View</v>
      </c>
    </row>
    <row r="896" spans="1:21" ht="30.6">
      <c r="A896" s="6">
        <v>43440.505949074075</v>
      </c>
      <c r="B896" s="7" t="str">
        <f>HYPERLINK("https://twitter.com/amcp150155","@amcp150155")</f>
        <v>@amcp150155</v>
      </c>
      <c r="C896" s="8" t="s">
        <v>3326</v>
      </c>
      <c r="D896" s="9" t="s">
        <v>3327</v>
      </c>
      <c r="E896" s="10" t="str">
        <f>HYPERLINK("https://twitter.com/amcp150155/status/1070636110697635840","1070636110697635840")</f>
        <v>1070636110697635840</v>
      </c>
      <c r="F896" s="16" t="s">
        <v>3328</v>
      </c>
      <c r="G896" s="11"/>
      <c r="H896" s="11"/>
      <c r="I896" s="12">
        <v>0</v>
      </c>
      <c r="J896" s="12">
        <v>0</v>
      </c>
      <c r="K896" s="13" t="str">
        <f>HYPERLINK("http://twitter.com/download/android","Twitter for Android")</f>
        <v>Twitter for Android</v>
      </c>
      <c r="L896" s="12">
        <v>721</v>
      </c>
      <c r="M896" s="12">
        <v>678</v>
      </c>
      <c r="N896" s="12">
        <v>2</v>
      </c>
      <c r="O896" s="14"/>
      <c r="P896" s="6">
        <v>41862.003888888888</v>
      </c>
      <c r="Q896" s="11"/>
      <c r="R896" s="18"/>
      <c r="S896" s="11"/>
      <c r="T896" s="11"/>
      <c r="U896" s="10" t="str">
        <f>HYPERLINK("https://pbs.twimg.com/profile_images/498591314754408449/CLwcQ7el.jpeg","View")</f>
        <v>View</v>
      </c>
    </row>
    <row r="897" spans="1:21" ht="30.6">
      <c r="A897" s="6">
        <v>43440.505509259259</v>
      </c>
      <c r="B897" s="7" t="str">
        <f>HYPERLINK("https://twitter.com/MikelSeptien","@MikelSeptien")</f>
        <v>@MikelSeptien</v>
      </c>
      <c r="C897" s="8" t="s">
        <v>3329</v>
      </c>
      <c r="D897" s="9" t="s">
        <v>3330</v>
      </c>
      <c r="E897" s="10" t="str">
        <f>HYPERLINK("https://twitter.com/MikelSeptien/status/1070635947782479872","1070635947782479872")</f>
        <v>1070635947782479872</v>
      </c>
      <c r="F897" s="11"/>
      <c r="G897" s="16" t="s">
        <v>3331</v>
      </c>
      <c r="H897" s="11"/>
      <c r="I897" s="12">
        <v>0</v>
      </c>
      <c r="J897" s="12">
        <v>3</v>
      </c>
      <c r="K897" s="13" t="str">
        <f>HYPERLINK("http://twitter.com/download/iphone","Twitter for iPhone")</f>
        <v>Twitter for iPhone</v>
      </c>
      <c r="L897" s="12">
        <v>644</v>
      </c>
      <c r="M897" s="12">
        <v>1273</v>
      </c>
      <c r="N897" s="12">
        <v>4</v>
      </c>
      <c r="O897" s="14"/>
      <c r="P897" s="6">
        <v>40969.705787037034</v>
      </c>
      <c r="Q897" s="15" t="s">
        <v>3332</v>
      </c>
      <c r="R897" s="17" t="s">
        <v>3333</v>
      </c>
      <c r="S897" s="11"/>
      <c r="T897" s="11"/>
      <c r="U897" s="10" t="str">
        <f>HYPERLINK("https://pbs.twimg.com/profile_images/599125963750932480/mO-FRgiH.jpg","View")</f>
        <v>View</v>
      </c>
    </row>
    <row r="898" spans="1:21" ht="30.6">
      <c r="A898" s="6">
        <v>43440.504710648151</v>
      </c>
      <c r="B898" s="7" t="str">
        <f>HYPERLINK("https://twitter.com/Gloriaviz","@Gloriaviz")</f>
        <v>@Gloriaviz</v>
      </c>
      <c r="C898" s="8" t="s">
        <v>3334</v>
      </c>
      <c r="D898" s="9" t="s">
        <v>3335</v>
      </c>
      <c r="E898" s="10" t="str">
        <f>HYPERLINK("https://twitter.com/Gloriaviz/status/1070635660053278721","1070635660053278721")</f>
        <v>1070635660053278721</v>
      </c>
      <c r="F898" s="16" t="s">
        <v>2006</v>
      </c>
      <c r="G898" s="11"/>
      <c r="H898" s="11"/>
      <c r="I898" s="12">
        <v>0</v>
      </c>
      <c r="J898" s="12">
        <v>0</v>
      </c>
      <c r="K898" s="13" t="str">
        <f>HYPERLINK("http://twitter.com/download/android","Twitter for Android")</f>
        <v>Twitter for Android</v>
      </c>
      <c r="L898" s="12">
        <v>46</v>
      </c>
      <c r="M898" s="12">
        <v>136</v>
      </c>
      <c r="N898" s="12">
        <v>1</v>
      </c>
      <c r="O898" s="14"/>
      <c r="P898" s="6">
        <v>40457.033171296294</v>
      </c>
      <c r="Q898" s="11"/>
      <c r="R898" s="17" t="s">
        <v>3336</v>
      </c>
      <c r="S898" s="11"/>
      <c r="T898" s="11"/>
      <c r="U898" s="10" t="str">
        <f>HYPERLINK("https://pbs.twimg.com/profile_images/1070320811435851776/3GFsLDHK.jpg","View")</f>
        <v>View</v>
      </c>
    </row>
    <row r="899" spans="1:21" ht="61.2">
      <c r="A899" s="6">
        <v>43440.504444444443</v>
      </c>
      <c r="B899" s="7" t="str">
        <f>HYPERLINK("https://twitter.com/carl99carl99","@carl99carl99")</f>
        <v>@carl99carl99</v>
      </c>
      <c r="C899" s="8" t="s">
        <v>1746</v>
      </c>
      <c r="D899" s="9" t="s">
        <v>3337</v>
      </c>
      <c r="E899" s="10" t="str">
        <f>HYPERLINK("https://twitter.com/carl99carl99/status/1070635562124673024","1070635562124673024")</f>
        <v>1070635562124673024</v>
      </c>
      <c r="F899" s="16" t="s">
        <v>3338</v>
      </c>
      <c r="G899" s="11"/>
      <c r="H899" s="11"/>
      <c r="I899" s="12">
        <v>0</v>
      </c>
      <c r="J899" s="12">
        <v>0</v>
      </c>
      <c r="K899" s="13" t="str">
        <f>HYPERLINK("http://twitter.com","Twitter Web Client")</f>
        <v>Twitter Web Client</v>
      </c>
      <c r="L899" s="12">
        <v>0</v>
      </c>
      <c r="M899" s="12">
        <v>0</v>
      </c>
      <c r="N899" s="12">
        <v>0</v>
      </c>
      <c r="O899" s="14"/>
      <c r="P899" s="6">
        <v>43297.685543981483</v>
      </c>
      <c r="Q899" s="11"/>
      <c r="R899" s="18"/>
      <c r="S899" s="11"/>
      <c r="T899" s="11"/>
      <c r="U899" s="23" t="s">
        <v>437</v>
      </c>
    </row>
    <row r="900" spans="1:21" ht="71.400000000000006">
      <c r="A900" s="6">
        <v>43440.503888888888</v>
      </c>
      <c r="B900" s="7" t="str">
        <f>HYPERLINK("https://twitter.com/voxpalencia","@voxpalencia")</f>
        <v>@voxpalencia</v>
      </c>
      <c r="C900" s="8" t="s">
        <v>3339</v>
      </c>
      <c r="D900" s="9" t="s">
        <v>3340</v>
      </c>
      <c r="E900" s="10" t="str">
        <f>HYPERLINK("https://twitter.com/voxpalencia/status/1070635362232487936","1070635362232487936")</f>
        <v>1070635362232487936</v>
      </c>
      <c r="F900" s="15" t="s">
        <v>3341</v>
      </c>
      <c r="G900" s="11"/>
      <c r="H900" s="11"/>
      <c r="I900" s="12">
        <v>1</v>
      </c>
      <c r="J900" s="12">
        <v>1</v>
      </c>
      <c r="K900" s="13" t="str">
        <f>HYPERLINK("http://twitter.com/download/iphone","Twitter for iPhone")</f>
        <v>Twitter for iPhone</v>
      </c>
      <c r="L900" s="12">
        <v>1105</v>
      </c>
      <c r="M900" s="12">
        <v>434</v>
      </c>
      <c r="N900" s="12">
        <v>5</v>
      </c>
      <c r="O900" s="14"/>
      <c r="P900" s="6">
        <v>41710.408402777779</v>
      </c>
      <c r="Q900" s="15" t="s">
        <v>197</v>
      </c>
      <c r="R900" s="17" t="s">
        <v>3342</v>
      </c>
      <c r="S900" s="16" t="s">
        <v>1740</v>
      </c>
      <c r="T900" s="11"/>
      <c r="U900" s="10" t="str">
        <f>HYPERLINK("https://pbs.twimg.com/profile_images/448168239676145664/w2mEjjV4.jpeg","View")</f>
        <v>View</v>
      </c>
    </row>
    <row r="901" spans="1:21" ht="20.399999999999999">
      <c r="A901" s="6">
        <v>43440.50377314815</v>
      </c>
      <c r="B901" s="7" t="str">
        <f>HYPERLINK("https://twitter.com/pepelninja","@pepelninja")</f>
        <v>@pepelninja</v>
      </c>
      <c r="C901" s="8" t="s">
        <v>3343</v>
      </c>
      <c r="D901" s="9" t="s">
        <v>3344</v>
      </c>
      <c r="E901" s="10" t="str">
        <f>HYPERLINK("https://twitter.com/pepelninja/status/1070635321950384128","1070635321950384128")</f>
        <v>1070635321950384128</v>
      </c>
      <c r="F901" s="11"/>
      <c r="G901" s="11"/>
      <c r="H901" s="11"/>
      <c r="I901" s="12">
        <v>7</v>
      </c>
      <c r="J901" s="12">
        <v>26</v>
      </c>
      <c r="K901" s="13" t="str">
        <f>HYPERLINK("https://mobile.twitter.com","Twitter Lite")</f>
        <v>Twitter Lite</v>
      </c>
      <c r="L901" s="12">
        <v>2066</v>
      </c>
      <c r="M901" s="12">
        <v>364</v>
      </c>
      <c r="N901" s="12">
        <v>14</v>
      </c>
      <c r="O901" s="14"/>
      <c r="P901" s="6">
        <v>43131.827627314815</v>
      </c>
      <c r="Q901" s="15" t="s">
        <v>3345</v>
      </c>
      <c r="R901" s="17" t="s">
        <v>3346</v>
      </c>
      <c r="S901" s="11"/>
      <c r="T901" s="11"/>
      <c r="U901" s="10" t="str">
        <f>HYPERLINK("https://pbs.twimg.com/profile_images/1061797354360184833/HBsRCub6.jpg","View")</f>
        <v>View</v>
      </c>
    </row>
    <row r="902" spans="1:21" ht="40.799999999999997">
      <c r="A902" s="6">
        <v>43440.500300925924</v>
      </c>
      <c r="B902" s="7" t="str">
        <f>HYPERLINK("https://twitter.com/AngeldeFrutos79","@AngeldeFrutos79")</f>
        <v>@AngeldeFrutos79</v>
      </c>
      <c r="C902" s="8" t="s">
        <v>3347</v>
      </c>
      <c r="D902" s="9" t="s">
        <v>3348</v>
      </c>
      <c r="E902" s="10" t="str">
        <f>HYPERLINK("https://twitter.com/AngeldeFrutos79/status/1070634063327870976","1070634063327870976")</f>
        <v>1070634063327870976</v>
      </c>
      <c r="F902" s="15" t="s">
        <v>3349</v>
      </c>
      <c r="G902" s="11"/>
      <c r="H902" s="11"/>
      <c r="I902" s="12">
        <v>3</v>
      </c>
      <c r="J902" s="12">
        <v>3</v>
      </c>
      <c r="K902" s="13" t="str">
        <f>HYPERLINK("http://twitter.com/download/iphone","Twitter for iPhone")</f>
        <v>Twitter for iPhone</v>
      </c>
      <c r="L902" s="12">
        <v>2884</v>
      </c>
      <c r="M902" s="12">
        <v>2851</v>
      </c>
      <c r="N902" s="12">
        <v>19</v>
      </c>
      <c r="O902" s="14"/>
      <c r="P902" s="6">
        <v>42382.544722222221</v>
      </c>
      <c r="Q902" s="11"/>
      <c r="R902" s="17" t="s">
        <v>3350</v>
      </c>
      <c r="S902" s="11"/>
      <c r="T902" s="11"/>
      <c r="U902" s="10" t="str">
        <f>HYPERLINK("https://pbs.twimg.com/profile_images/687245338101592064/sumV6zeb.jpg","View")</f>
        <v>View</v>
      </c>
    </row>
    <row r="903" spans="1:21" ht="51">
      <c r="A903" s="6">
        <v>43440.496967592597</v>
      </c>
      <c r="B903" s="7" t="str">
        <f>HYPERLINK("https://twitter.com/Elig_io","@Elig_io")</f>
        <v>@Elig_io</v>
      </c>
      <c r="C903" s="8" t="s">
        <v>3351</v>
      </c>
      <c r="D903" s="9" t="s">
        <v>3352</v>
      </c>
      <c r="E903" s="10" t="str">
        <f>HYPERLINK("https://twitter.com/Elig_io/status/1070632854151970817","1070632854151970817")</f>
        <v>1070632854151970817</v>
      </c>
      <c r="F903" s="11"/>
      <c r="G903" s="11"/>
      <c r="H903" s="11"/>
      <c r="I903" s="12">
        <v>0</v>
      </c>
      <c r="J903" s="12">
        <v>0</v>
      </c>
      <c r="K903" s="13" t="str">
        <f t="shared" ref="K903:K904" si="207">HYPERLINK("http://twitter.com/download/android","Twitter for Android")</f>
        <v>Twitter for Android</v>
      </c>
      <c r="L903" s="12">
        <v>90</v>
      </c>
      <c r="M903" s="12">
        <v>275</v>
      </c>
      <c r="N903" s="12">
        <v>1</v>
      </c>
      <c r="O903" s="14"/>
      <c r="P903" s="6">
        <v>40715.492719907408</v>
      </c>
      <c r="Q903" s="11"/>
      <c r="R903" s="17" t="s">
        <v>3353</v>
      </c>
      <c r="S903" s="11"/>
      <c r="T903" s="11"/>
      <c r="U903" s="10" t="str">
        <f>HYPERLINK("https://pbs.twimg.com/profile_images/3393985633/291411efc7030bd92f69b5a9c7a7957c.jpeg","View")</f>
        <v>View</v>
      </c>
    </row>
    <row r="904" spans="1:21" ht="51">
      <c r="A904" s="6">
        <v>43440.496747685189</v>
      </c>
      <c r="B904" s="7" t="str">
        <f>HYPERLINK("https://twitter.com/CarlosZayasESP","@CarlosZayasESP")</f>
        <v>@CarlosZayasESP</v>
      </c>
      <c r="C904" s="8" t="s">
        <v>3354</v>
      </c>
      <c r="D904" s="9" t="s">
        <v>3355</v>
      </c>
      <c r="E904" s="10" t="str">
        <f>HYPERLINK("https://twitter.com/CarlosZayasESP/status/1070632775580049410","1070632775580049410")</f>
        <v>1070632775580049410</v>
      </c>
      <c r="F904" s="11"/>
      <c r="G904" s="16" t="s">
        <v>3356</v>
      </c>
      <c r="H904" s="11"/>
      <c r="I904" s="12">
        <v>0</v>
      </c>
      <c r="J904" s="12">
        <v>1</v>
      </c>
      <c r="K904" s="13" t="str">
        <f t="shared" si="207"/>
        <v>Twitter for Android</v>
      </c>
      <c r="L904" s="12">
        <v>1504</v>
      </c>
      <c r="M904" s="12">
        <v>2206</v>
      </c>
      <c r="N904" s="12">
        <v>10</v>
      </c>
      <c r="O904" s="14"/>
      <c r="P904" s="6">
        <v>42429.384409722217</v>
      </c>
      <c r="Q904" s="15" t="s">
        <v>3357</v>
      </c>
      <c r="R904" s="17" t="s">
        <v>3358</v>
      </c>
      <c r="S904" s="11"/>
      <c r="T904" s="11"/>
      <c r="U904" s="10" t="str">
        <f>HYPERLINK("https://pbs.twimg.com/profile_images/704218601981612032/QmnajuhY.jpg","View")</f>
        <v>View</v>
      </c>
    </row>
    <row r="905" spans="1:21" ht="30.6">
      <c r="A905" s="6">
        <v>43440.490810185191</v>
      </c>
      <c r="B905" s="7" t="str">
        <f>HYPERLINK("https://twitter.com/ntoonioconnioo","@ntoonioconnioo")</f>
        <v>@ntoonioconnioo</v>
      </c>
      <c r="C905" s="8" t="s">
        <v>3359</v>
      </c>
      <c r="D905" s="9" t="s">
        <v>3360</v>
      </c>
      <c r="E905" s="10" t="str">
        <f>HYPERLINK("https://twitter.com/ntoonioconnioo/status/1070630621385551872","1070630621385551872")</f>
        <v>1070630621385551872</v>
      </c>
      <c r="F905" s="11"/>
      <c r="G905" s="11"/>
      <c r="H905" s="11"/>
      <c r="I905" s="12">
        <v>0</v>
      </c>
      <c r="J905" s="12">
        <v>0</v>
      </c>
      <c r="K905" s="13" t="str">
        <f t="shared" ref="K905:K907" si="208">HYPERLINK("http://twitter.com","Twitter Web Client")</f>
        <v>Twitter Web Client</v>
      </c>
      <c r="L905" s="12">
        <v>17</v>
      </c>
      <c r="M905" s="12">
        <v>161</v>
      </c>
      <c r="N905" s="12">
        <v>1</v>
      </c>
      <c r="O905" s="14"/>
      <c r="P905" s="6">
        <v>41706.073148148149</v>
      </c>
      <c r="Q905" s="11"/>
      <c r="R905" s="17" t="s">
        <v>3361</v>
      </c>
      <c r="S905" s="11"/>
      <c r="T905" s="11"/>
      <c r="U905" s="10" t="str">
        <f>HYPERLINK("https://pbs.twimg.com/profile_images/452008960610942976/i7uIGulW.jpeg","View")</f>
        <v>View</v>
      </c>
    </row>
    <row r="906" spans="1:21" ht="40.799999999999997">
      <c r="A906" s="6">
        <v>43440.490451388891</v>
      </c>
      <c r="B906" s="7" t="str">
        <f>HYPERLINK("https://twitter.com/ZassCometro","@ZassCometro")</f>
        <v>@ZassCometro</v>
      </c>
      <c r="C906" s="8" t="s">
        <v>3362</v>
      </c>
      <c r="D906" s="9" t="s">
        <v>3363</v>
      </c>
      <c r="E906" s="10" t="str">
        <f>HYPERLINK("https://twitter.com/ZassCometro/status/1070630491542511616","1070630491542511616")</f>
        <v>1070630491542511616</v>
      </c>
      <c r="F906" s="11"/>
      <c r="G906" s="16" t="s">
        <v>3364</v>
      </c>
      <c r="H906" s="11"/>
      <c r="I906" s="12">
        <v>147</v>
      </c>
      <c r="J906" s="12">
        <v>179</v>
      </c>
      <c r="K906" s="13" t="str">
        <f t="shared" si="208"/>
        <v>Twitter Web Client</v>
      </c>
      <c r="L906" s="12">
        <v>39959</v>
      </c>
      <c r="M906" s="12">
        <v>3888</v>
      </c>
      <c r="N906" s="12">
        <v>181</v>
      </c>
      <c r="O906" s="14"/>
      <c r="P906" s="6">
        <v>42788.119930555556</v>
      </c>
      <c r="Q906" s="11"/>
      <c r="R906" s="17" t="s">
        <v>3365</v>
      </c>
      <c r="S906" s="16" t="s">
        <v>3366</v>
      </c>
      <c r="T906" s="11"/>
      <c r="U906" s="10" t="str">
        <f>HYPERLINK("https://pbs.twimg.com/profile_images/834377218734354432/YN1XqcBy.jpg","View")</f>
        <v>View</v>
      </c>
    </row>
    <row r="907" spans="1:21" ht="40.799999999999997">
      <c r="A907" s="6">
        <v>43440.490381944444</v>
      </c>
      <c r="B907" s="7" t="str">
        <f>HYPERLINK("https://twitter.com/AlbertoAviador4","@AlbertoAviador4")</f>
        <v>@AlbertoAviador4</v>
      </c>
      <c r="C907" s="8" t="s">
        <v>3367</v>
      </c>
      <c r="D907" s="9" t="s">
        <v>3368</v>
      </c>
      <c r="E907" s="10" t="str">
        <f>HYPERLINK("https://twitter.com/AlbertoAviador4/status/1070630469002321920","1070630469002321920")</f>
        <v>1070630469002321920</v>
      </c>
      <c r="F907" s="11"/>
      <c r="G907" s="16" t="s">
        <v>3369</v>
      </c>
      <c r="H907" s="11"/>
      <c r="I907" s="12">
        <v>20</v>
      </c>
      <c r="J907" s="12">
        <v>32</v>
      </c>
      <c r="K907" s="13" t="str">
        <f t="shared" si="208"/>
        <v>Twitter Web Client</v>
      </c>
      <c r="L907" s="12">
        <v>618</v>
      </c>
      <c r="M907" s="12">
        <v>712</v>
      </c>
      <c r="N907" s="12">
        <v>2</v>
      </c>
      <c r="O907" s="14"/>
      <c r="P907" s="6">
        <v>43157.646932870368</v>
      </c>
      <c r="Q907" s="15" t="s">
        <v>3370</v>
      </c>
      <c r="R907" s="17" t="s">
        <v>3371</v>
      </c>
      <c r="S907" s="11"/>
      <c r="T907" s="11"/>
      <c r="U907" s="10" t="str">
        <f>HYPERLINK("https://pbs.twimg.com/profile_images/978012189519851520/iYc1Kw3X.jpg","View")</f>
        <v>View</v>
      </c>
    </row>
    <row r="908" spans="1:21" ht="71.400000000000006">
      <c r="A908" s="6">
        <v>43440.489004629635</v>
      </c>
      <c r="B908" s="7" t="str">
        <f>HYPERLINK("https://twitter.com/sosciudadanos","@sosciudadanos")</f>
        <v>@sosciudadanos</v>
      </c>
      <c r="C908" s="8" t="s">
        <v>3372</v>
      </c>
      <c r="D908" s="9" t="s">
        <v>3373</v>
      </c>
      <c r="E908" s="10" t="str">
        <f>HYPERLINK("https://twitter.com/sosciudadanos/status/1070629967950766080","1070629967950766080")</f>
        <v>1070629967950766080</v>
      </c>
      <c r="F908" s="15" t="s">
        <v>3374</v>
      </c>
      <c r="G908" s="11"/>
      <c r="H908" s="11"/>
      <c r="I908" s="12">
        <v>0</v>
      </c>
      <c r="J908" s="12">
        <v>0</v>
      </c>
      <c r="K908" s="13" t="str">
        <f>HYPERLINK("http://twitter.com/#!/download/ipad","Twitter for iPad")</f>
        <v>Twitter for iPad</v>
      </c>
      <c r="L908" s="12">
        <v>303</v>
      </c>
      <c r="M908" s="12">
        <v>296</v>
      </c>
      <c r="N908" s="12">
        <v>0</v>
      </c>
      <c r="O908" s="14"/>
      <c r="P908" s="6">
        <v>40502.868402777778</v>
      </c>
      <c r="Q908" s="11"/>
      <c r="R908" s="17" t="s">
        <v>3375</v>
      </c>
      <c r="S908" s="11"/>
      <c r="T908" s="11"/>
      <c r="U908" s="10" t="str">
        <f>HYPERLINK("https://pbs.twimg.com/profile_images/1365930752/Fotolia_21253940_S.jpg","View")</f>
        <v>View</v>
      </c>
    </row>
    <row r="909" spans="1:21" ht="61.2">
      <c r="A909" s="6">
        <v>43440.487777777773</v>
      </c>
      <c r="B909" s="7" t="str">
        <f>HYPERLINK("https://twitter.com/lunadebenidorm","@lunadebenidorm")</f>
        <v>@lunadebenidorm</v>
      </c>
      <c r="C909" s="8" t="s">
        <v>1215</v>
      </c>
      <c r="D909" s="9" t="s">
        <v>3376</v>
      </c>
      <c r="E909" s="10" t="str">
        <f>HYPERLINK("https://twitter.com/lunadebenidorm/status/1070629524289806336","1070629524289806336")</f>
        <v>1070629524289806336</v>
      </c>
      <c r="F909" s="16" t="s">
        <v>3377</v>
      </c>
      <c r="G909" s="11"/>
      <c r="H909" s="11"/>
      <c r="I909" s="12">
        <v>0</v>
      </c>
      <c r="J909" s="12">
        <v>0</v>
      </c>
      <c r="K909" s="13" t="str">
        <f>HYPERLINK("http://twitter.com/download/android","Twitter for Android")</f>
        <v>Twitter for Android</v>
      </c>
      <c r="L909" s="12">
        <v>3951</v>
      </c>
      <c r="M909" s="12">
        <v>4067</v>
      </c>
      <c r="N909" s="12">
        <v>79</v>
      </c>
      <c r="O909" s="14"/>
      <c r="P909" s="6">
        <v>41461.81186342593</v>
      </c>
      <c r="Q909" s="11"/>
      <c r="R909" s="17" t="s">
        <v>1217</v>
      </c>
      <c r="S909" s="11"/>
      <c r="T909" s="11"/>
      <c r="U909" s="10" t="str">
        <f>HYPERLINK("https://pbs.twimg.com/profile_images/1066142568734515203/pN2PG8WE.jpg","View")</f>
        <v>View</v>
      </c>
    </row>
    <row r="910" spans="1:21" ht="102">
      <c r="A910" s="6">
        <v>43440.485023148147</v>
      </c>
      <c r="B910" s="7" t="str">
        <f>HYPERLINK("https://twitter.com/BabositaM","@BabositaM")</f>
        <v>@BabositaM</v>
      </c>
      <c r="C910" s="8" t="s">
        <v>3378</v>
      </c>
      <c r="D910" s="9" t="s">
        <v>3379</v>
      </c>
      <c r="E910" s="10" t="str">
        <f>HYPERLINK("https://twitter.com/BabositaM/status/1070628526922104832","1070628526922104832")</f>
        <v>1070628526922104832</v>
      </c>
      <c r="F910" s="16" t="s">
        <v>2542</v>
      </c>
      <c r="G910" s="16" t="s">
        <v>2543</v>
      </c>
      <c r="H910" s="11"/>
      <c r="I910" s="12">
        <v>0</v>
      </c>
      <c r="J910" s="12">
        <v>0</v>
      </c>
      <c r="K910" s="13" t="str">
        <f t="shared" ref="K910:K911" si="209">HYPERLINK("http://twitter.com","Twitter Web Client")</f>
        <v>Twitter Web Client</v>
      </c>
      <c r="L910" s="12">
        <v>402</v>
      </c>
      <c r="M910" s="12">
        <v>452</v>
      </c>
      <c r="N910" s="12">
        <v>1</v>
      </c>
      <c r="O910" s="14"/>
      <c r="P910" s="6">
        <v>41235.510891203703</v>
      </c>
      <c r="Q910" s="11"/>
      <c r="R910" s="17" t="s">
        <v>3380</v>
      </c>
      <c r="S910" s="11"/>
      <c r="T910" s="11"/>
      <c r="U910" s="10" t="str">
        <f>HYPERLINK("https://pbs.twimg.com/profile_images/1050147122287439872/r7PSoJZU.jpg","View")</f>
        <v>View</v>
      </c>
    </row>
    <row r="911" spans="1:21" ht="71.400000000000006">
      <c r="A911" s="6">
        <v>43440.484293981484</v>
      </c>
      <c r="B911" s="7" t="str">
        <f>HYPERLINK("https://twitter.com/cruzverde_","@cruzverde_")</f>
        <v>@cruzverde_</v>
      </c>
      <c r="C911" s="8" t="s">
        <v>1296</v>
      </c>
      <c r="D911" s="9" t="s">
        <v>3381</v>
      </c>
      <c r="E911" s="10" t="str">
        <f>HYPERLINK("https://twitter.com/cruzverde_/status/1070628260000735232","1070628260000735232")</f>
        <v>1070628260000735232</v>
      </c>
      <c r="F911" s="16" t="s">
        <v>2854</v>
      </c>
      <c r="G911" s="16" t="s">
        <v>2855</v>
      </c>
      <c r="H911" s="11"/>
      <c r="I911" s="12">
        <v>0</v>
      </c>
      <c r="J911" s="12">
        <v>0</v>
      </c>
      <c r="K911" s="13" t="str">
        <f t="shared" si="209"/>
        <v>Twitter Web Client</v>
      </c>
      <c r="L911" s="12">
        <v>1499</v>
      </c>
      <c r="M911" s="12">
        <v>2672</v>
      </c>
      <c r="N911" s="12">
        <v>40</v>
      </c>
      <c r="O911" s="14"/>
      <c r="P911" s="6">
        <v>40163.003703703704</v>
      </c>
      <c r="Q911" s="11"/>
      <c r="R911" s="17" t="s">
        <v>1300</v>
      </c>
      <c r="S911" s="16" t="s">
        <v>1301</v>
      </c>
      <c r="T911" s="11"/>
      <c r="U911" s="10" t="str">
        <f>HYPERLINK("https://pbs.twimg.com/profile_images/1784494170/AvatarRRSS.jpg","View")</f>
        <v>View</v>
      </c>
    </row>
    <row r="912" spans="1:21" ht="71.400000000000006">
      <c r="A912" s="6">
        <v>43440.483854166669</v>
      </c>
      <c r="B912" s="7" t="str">
        <f>HYPERLINK("https://twitter.com/Advill54","@Advill54")</f>
        <v>@Advill54</v>
      </c>
      <c r="C912" s="8" t="s">
        <v>3382</v>
      </c>
      <c r="D912" s="9" t="s">
        <v>3383</v>
      </c>
      <c r="E912" s="10" t="str">
        <f>HYPERLINK("https://twitter.com/Advill54/status/1070628102114557952","1070628102114557952")</f>
        <v>1070628102114557952</v>
      </c>
      <c r="F912" s="16" t="s">
        <v>2542</v>
      </c>
      <c r="G912" s="16" t="s">
        <v>2543</v>
      </c>
      <c r="H912" s="11"/>
      <c r="I912" s="12">
        <v>0</v>
      </c>
      <c r="J912" s="12">
        <v>0</v>
      </c>
      <c r="K912" s="13" t="str">
        <f>HYPERLINK("http://twitter.com/#!/download/ipad","Twitter for iPad")</f>
        <v>Twitter for iPad</v>
      </c>
      <c r="L912" s="12">
        <v>152</v>
      </c>
      <c r="M912" s="12">
        <v>139</v>
      </c>
      <c r="N912" s="12">
        <v>8</v>
      </c>
      <c r="O912" s="14"/>
      <c r="P912" s="6">
        <v>40320.849675925929</v>
      </c>
      <c r="Q912" s="15" t="s">
        <v>712</v>
      </c>
      <c r="R912" s="17" t="s">
        <v>3384</v>
      </c>
      <c r="S912" s="11"/>
      <c r="T912" s="11"/>
      <c r="U912" s="10" t="str">
        <f>HYPERLINK("https://pbs.twimg.com/profile_images/378800000788735663/e0219fd4da0cf8e2625bb5c723d951c3.jpeg","View")</f>
        <v>View</v>
      </c>
    </row>
    <row r="913" spans="1:21" ht="102">
      <c r="A913" s="6">
        <v>43440.482141203705</v>
      </c>
      <c r="B913" s="7" t="str">
        <f>HYPERLINK("https://twitter.com/Viking_RM","@Viking_RM")</f>
        <v>@Viking_RM</v>
      </c>
      <c r="C913" s="8" t="s">
        <v>3385</v>
      </c>
      <c r="D913" s="9" t="s">
        <v>3386</v>
      </c>
      <c r="E913" s="10" t="str">
        <f>HYPERLINK("https://twitter.com/Viking_RM/status/1070627482934697984","1070627482934697984")</f>
        <v>1070627482934697984</v>
      </c>
      <c r="F913" s="15" t="s">
        <v>3387</v>
      </c>
      <c r="G913" s="11"/>
      <c r="H913" s="11"/>
      <c r="I913" s="12">
        <v>0</v>
      </c>
      <c r="J913" s="12">
        <v>0</v>
      </c>
      <c r="K913" s="13" t="str">
        <f t="shared" ref="K913:K915" si="210">HYPERLINK("http://twitter.com/download/android","Twitter for Android")</f>
        <v>Twitter for Android</v>
      </c>
      <c r="L913" s="12">
        <v>25</v>
      </c>
      <c r="M913" s="12">
        <v>70</v>
      </c>
      <c r="N913" s="12">
        <v>0</v>
      </c>
      <c r="O913" s="14"/>
      <c r="P913" s="6">
        <v>41700.980219907404</v>
      </c>
      <c r="Q913" s="11"/>
      <c r="R913" s="18"/>
      <c r="S913" s="11"/>
      <c r="T913" s="11"/>
      <c r="U913" s="10" t="str">
        <f>HYPERLINK("https://pbs.twimg.com/profile_images/1043454730423476224/ljzi3kXs.jpg","View")</f>
        <v>View</v>
      </c>
    </row>
    <row r="914" spans="1:21" ht="30.6">
      <c r="A914" s="6">
        <v>43440.481319444443</v>
      </c>
      <c r="B914" s="7" t="str">
        <f>HYPERLINK("https://twitter.com/RaulMJimenez_","@RaulMJimenez_")</f>
        <v>@RaulMJimenez_</v>
      </c>
      <c r="C914" s="8" t="s">
        <v>3388</v>
      </c>
      <c r="D914" s="9" t="s">
        <v>3389</v>
      </c>
      <c r="E914" s="10" t="str">
        <f>HYPERLINK("https://twitter.com/RaulMJimenez_/status/1070627184853815296","1070627184853815296")</f>
        <v>1070627184853815296</v>
      </c>
      <c r="F914" s="11"/>
      <c r="G914" s="11"/>
      <c r="H914" s="11"/>
      <c r="I914" s="12">
        <v>0</v>
      </c>
      <c r="J914" s="12">
        <v>0</v>
      </c>
      <c r="K914" s="13" t="str">
        <f t="shared" si="210"/>
        <v>Twitter for Android</v>
      </c>
      <c r="L914" s="12">
        <v>2043</v>
      </c>
      <c r="M914" s="12">
        <v>745</v>
      </c>
      <c r="N914" s="12">
        <v>14</v>
      </c>
      <c r="O914" s="14"/>
      <c r="P914" s="6">
        <v>39958.628113425926</v>
      </c>
      <c r="Q914" s="15" t="s">
        <v>3390</v>
      </c>
      <c r="R914" s="17" t="s">
        <v>3391</v>
      </c>
      <c r="S914" s="11"/>
      <c r="T914" s="11"/>
      <c r="U914" s="10" t="str">
        <f>HYPERLINK("https://pbs.twimg.com/profile_images/1045045557352419329/tFIfE5wV.jpg","View")</f>
        <v>View</v>
      </c>
    </row>
    <row r="915" spans="1:21" ht="13.2">
      <c r="A915" s="6">
        <v>43440.480995370366</v>
      </c>
      <c r="B915" s="7" t="str">
        <f>HYPERLINK("https://twitter.com/VoxLibres","@VoxLibres")</f>
        <v>@VoxLibres</v>
      </c>
      <c r="C915" s="8" t="s">
        <v>3392</v>
      </c>
      <c r="D915" s="9" t="s">
        <v>3393</v>
      </c>
      <c r="E915" s="10" t="str">
        <f>HYPERLINK("https://twitter.com/VoxLibres/status/1070627067723685888","1070627067723685888")</f>
        <v>1070627067723685888</v>
      </c>
      <c r="F915" s="16" t="s">
        <v>2006</v>
      </c>
      <c r="G915" s="11"/>
      <c r="H915" s="11"/>
      <c r="I915" s="12">
        <v>1</v>
      </c>
      <c r="J915" s="12">
        <v>1</v>
      </c>
      <c r="K915" s="13" t="str">
        <f t="shared" si="210"/>
        <v>Twitter for Android</v>
      </c>
      <c r="L915" s="12">
        <v>692</v>
      </c>
      <c r="M915" s="12">
        <v>1089</v>
      </c>
      <c r="N915" s="12">
        <v>3</v>
      </c>
      <c r="O915" s="14"/>
      <c r="P915" s="6">
        <v>42314.818981481483</v>
      </c>
      <c r="Q915" s="11"/>
      <c r="R915" s="18"/>
      <c r="S915" s="16" t="s">
        <v>3394</v>
      </c>
      <c r="T915" s="11"/>
      <c r="U915" s="10" t="str">
        <f>HYPERLINK("https://pbs.twimg.com/profile_images/662702661104484352/1gd5souG.jpg","View")</f>
        <v>View</v>
      </c>
    </row>
    <row r="916" spans="1:21" ht="40.799999999999997">
      <c r="A916" s="6">
        <v>43440.480694444443</v>
      </c>
      <c r="B916" s="7" t="str">
        <f>HYPERLINK("https://twitter.com/golorico","@golorico")</f>
        <v>@golorico</v>
      </c>
      <c r="C916" s="8" t="s">
        <v>3395</v>
      </c>
      <c r="D916" s="9" t="s">
        <v>3396</v>
      </c>
      <c r="E916" s="10" t="str">
        <f>HYPERLINK("https://twitter.com/golorico/status/1070626958583758848","1070626958583758848")</f>
        <v>1070626958583758848</v>
      </c>
      <c r="F916" s="11"/>
      <c r="G916" s="16" t="s">
        <v>3397</v>
      </c>
      <c r="H916" s="11"/>
      <c r="I916" s="12">
        <v>2</v>
      </c>
      <c r="J916" s="12">
        <v>1</v>
      </c>
      <c r="K916" s="13" t="str">
        <f>HYPERLINK("http://twitter.com","Twitter Web Client")</f>
        <v>Twitter Web Client</v>
      </c>
      <c r="L916" s="12">
        <v>2919</v>
      </c>
      <c r="M916" s="12">
        <v>3865</v>
      </c>
      <c r="N916" s="12">
        <v>60</v>
      </c>
      <c r="O916" s="14"/>
      <c r="P916" s="6">
        <v>40866.586539351854</v>
      </c>
      <c r="Q916" s="11"/>
      <c r="R916" s="17" t="s">
        <v>3398</v>
      </c>
      <c r="S916" s="11"/>
      <c r="T916" s="11"/>
      <c r="U916" s="10" t="str">
        <f>HYPERLINK("https://pbs.twimg.com/profile_images/883382841232457728/MvxBb_dd.jpg","View")</f>
        <v>View</v>
      </c>
    </row>
    <row r="917" spans="1:21" ht="40.799999999999997">
      <c r="A917" s="6">
        <v>43440.480578703704</v>
      </c>
      <c r="B917" s="7" t="str">
        <f>HYPERLINK("https://twitter.com/jpunkpanatas","@jpunkpanatas")</f>
        <v>@jpunkpanatas</v>
      </c>
      <c r="C917" s="8" t="s">
        <v>3399</v>
      </c>
      <c r="D917" s="9" t="s">
        <v>3400</v>
      </c>
      <c r="E917" s="10" t="str">
        <f>HYPERLINK("https://twitter.com/jpunkpanatas/status/1070626915965378565","1070626915965378565")</f>
        <v>1070626915965378565</v>
      </c>
      <c r="F917" s="11"/>
      <c r="G917" s="16" t="s">
        <v>3401</v>
      </c>
      <c r="H917" s="11"/>
      <c r="I917" s="12">
        <v>1</v>
      </c>
      <c r="J917" s="12">
        <v>2</v>
      </c>
      <c r="K917" s="13" t="str">
        <f t="shared" ref="K917:K919" si="211">HYPERLINK("http://twitter.com/download/android","Twitter for Android")</f>
        <v>Twitter for Android</v>
      </c>
      <c r="L917" s="12">
        <v>128</v>
      </c>
      <c r="M917" s="12">
        <v>397</v>
      </c>
      <c r="N917" s="12">
        <v>1</v>
      </c>
      <c r="O917" s="14"/>
      <c r="P917" s="6">
        <v>42739.439837962964</v>
      </c>
      <c r="Q917" s="15" t="s">
        <v>3402</v>
      </c>
      <c r="R917" s="17" t="s">
        <v>3403</v>
      </c>
      <c r="S917" s="11"/>
      <c r="T917" s="11"/>
      <c r="U917" s="10" t="str">
        <f>HYPERLINK("https://pbs.twimg.com/profile_images/1071036175014608896/a7t0taiq.jpg","View")</f>
        <v>View</v>
      </c>
    </row>
    <row r="918" spans="1:21" ht="102">
      <c r="A918" s="6">
        <v>43440.480208333334</v>
      </c>
      <c r="B918" s="7" t="str">
        <f t="shared" ref="B918:B919" si="212">HYPERLINK("https://twitter.com/Viking_RM","@Viking_RM")</f>
        <v>@Viking_RM</v>
      </c>
      <c r="C918" s="8" t="s">
        <v>3385</v>
      </c>
      <c r="D918" s="9" t="s">
        <v>3404</v>
      </c>
      <c r="E918" s="10" t="str">
        <f>HYPERLINK("https://twitter.com/Viking_RM/status/1070626778954260480","1070626778954260480")</f>
        <v>1070626778954260480</v>
      </c>
      <c r="F918" s="15" t="s">
        <v>3405</v>
      </c>
      <c r="G918" s="11"/>
      <c r="H918" s="11"/>
      <c r="I918" s="12">
        <v>0</v>
      </c>
      <c r="J918" s="12">
        <v>0</v>
      </c>
      <c r="K918" s="13" t="str">
        <f t="shared" si="211"/>
        <v>Twitter for Android</v>
      </c>
      <c r="L918" s="12">
        <v>25</v>
      </c>
      <c r="M918" s="12">
        <v>70</v>
      </c>
      <c r="N918" s="12">
        <v>0</v>
      </c>
      <c r="O918" s="14"/>
      <c r="P918" s="6">
        <v>41700.980219907404</v>
      </c>
      <c r="Q918" s="11"/>
      <c r="R918" s="18"/>
      <c r="S918" s="11"/>
      <c r="T918" s="11"/>
      <c r="U918" s="10" t="str">
        <f t="shared" ref="U918:U919" si="213">HYPERLINK("https://pbs.twimg.com/profile_images/1043454730423476224/ljzi3kXs.jpg","View")</f>
        <v>View</v>
      </c>
    </row>
    <row r="919" spans="1:21" ht="112.2">
      <c r="A919" s="6">
        <v>43440.477986111116</v>
      </c>
      <c r="B919" s="7" t="str">
        <f t="shared" si="212"/>
        <v>@Viking_RM</v>
      </c>
      <c r="C919" s="8" t="s">
        <v>3385</v>
      </c>
      <c r="D919" s="9" t="s">
        <v>3406</v>
      </c>
      <c r="E919" s="10" t="str">
        <f>HYPERLINK("https://twitter.com/Viking_RM/status/1070625974595846145","1070625974595846145")</f>
        <v>1070625974595846145</v>
      </c>
      <c r="F919" s="15" t="s">
        <v>3407</v>
      </c>
      <c r="G919" s="11"/>
      <c r="H919" s="11"/>
      <c r="I919" s="12">
        <v>0</v>
      </c>
      <c r="J919" s="12">
        <v>0</v>
      </c>
      <c r="K919" s="13" t="str">
        <f t="shared" si="211"/>
        <v>Twitter for Android</v>
      </c>
      <c r="L919" s="12">
        <v>25</v>
      </c>
      <c r="M919" s="12">
        <v>70</v>
      </c>
      <c r="N919" s="12">
        <v>0</v>
      </c>
      <c r="O919" s="14"/>
      <c r="P919" s="6">
        <v>41700.980219907404</v>
      </c>
      <c r="Q919" s="11"/>
      <c r="R919" s="18"/>
      <c r="S919" s="11"/>
      <c r="T919" s="11"/>
      <c r="U919" s="10" t="str">
        <f t="shared" si="213"/>
        <v>View</v>
      </c>
    </row>
    <row r="920" spans="1:21" ht="51">
      <c r="A920" s="6">
        <v>43440.477858796294</v>
      </c>
      <c r="B920" s="7" t="str">
        <f>HYPERLINK("https://twitter.com/librepensante75","@librepensante75")</f>
        <v>@librepensante75</v>
      </c>
      <c r="C920" s="8" t="s">
        <v>3408</v>
      </c>
      <c r="D920" s="9" t="s">
        <v>3409</v>
      </c>
      <c r="E920" s="10" t="str">
        <f>HYPERLINK("https://twitter.com/librepensante75/status/1070625931000205312","1070625931000205312")</f>
        <v>1070625931000205312</v>
      </c>
      <c r="F920" s="15" t="s">
        <v>3410</v>
      </c>
      <c r="G920" s="11"/>
      <c r="H920" s="11"/>
      <c r="I920" s="12">
        <v>0</v>
      </c>
      <c r="J920" s="12">
        <v>0</v>
      </c>
      <c r="K920" s="13" t="str">
        <f t="shared" ref="K920:K921" si="214">HYPERLINK("http://twitter.com/download/iphone","Twitter for iPhone")</f>
        <v>Twitter for iPhone</v>
      </c>
      <c r="L920" s="12">
        <v>768</v>
      </c>
      <c r="M920" s="12">
        <v>2073</v>
      </c>
      <c r="N920" s="12">
        <v>3</v>
      </c>
      <c r="O920" s="14"/>
      <c r="P920" s="6">
        <v>40164.96229166667</v>
      </c>
      <c r="Q920" s="15" t="s">
        <v>197</v>
      </c>
      <c r="R920" s="17" t="s">
        <v>3411</v>
      </c>
      <c r="S920" s="11"/>
      <c r="T920" s="11"/>
      <c r="U920" s="10" t="str">
        <f>HYPERLINK("https://pbs.twimg.com/profile_images/1028559432756674560/gT9QNAnT.jpg","View")</f>
        <v>View</v>
      </c>
    </row>
    <row r="921" spans="1:21" ht="40.799999999999997">
      <c r="A921" s="6">
        <v>43440.4765625</v>
      </c>
      <c r="B921" s="7" t="str">
        <f>HYPERLINK("https://twitter.com/BistroDelmarva","@BistroDelmarva")</f>
        <v>@BistroDelmarva</v>
      </c>
      <c r="C921" s="8" t="s">
        <v>3412</v>
      </c>
      <c r="D921" s="9" t="s">
        <v>3413</v>
      </c>
      <c r="E921" s="10" t="str">
        <f>HYPERLINK("https://twitter.com/BistroDelmarva/status/1070625460885819393","1070625460885819393")</f>
        <v>1070625460885819393</v>
      </c>
      <c r="F921" s="11"/>
      <c r="G921" s="16" t="s">
        <v>3414</v>
      </c>
      <c r="H921" s="11"/>
      <c r="I921" s="12">
        <v>2</v>
      </c>
      <c r="J921" s="12">
        <v>5</v>
      </c>
      <c r="K921" s="13" t="str">
        <f t="shared" si="214"/>
        <v>Twitter for iPhone</v>
      </c>
      <c r="L921" s="12">
        <v>3602</v>
      </c>
      <c r="M921" s="12">
        <v>1078</v>
      </c>
      <c r="N921" s="12">
        <v>37</v>
      </c>
      <c r="O921" s="14"/>
      <c r="P921" s="6">
        <v>42038.500914351855</v>
      </c>
      <c r="Q921" s="15" t="s">
        <v>3415</v>
      </c>
      <c r="R921" s="17" t="s">
        <v>3416</v>
      </c>
      <c r="S921" s="16" t="s">
        <v>3417</v>
      </c>
      <c r="T921" s="11"/>
      <c r="U921" s="10" t="str">
        <f>HYPERLINK("https://pbs.twimg.com/profile_images/791033831046451205/cfcYdkjr.jpg","View")</f>
        <v>View</v>
      </c>
    </row>
    <row r="922" spans="1:21" ht="112.2">
      <c r="A922" s="6">
        <v>43440.476273148146</v>
      </c>
      <c r="B922" s="7" t="str">
        <f>HYPERLINK("https://twitter.com/Viking_RM","@Viking_RM")</f>
        <v>@Viking_RM</v>
      </c>
      <c r="C922" s="8" t="s">
        <v>3385</v>
      </c>
      <c r="D922" s="9" t="s">
        <v>3418</v>
      </c>
      <c r="E922" s="10" t="str">
        <f>HYPERLINK("https://twitter.com/Viking_RM/status/1070625355092975618","1070625355092975618")</f>
        <v>1070625355092975618</v>
      </c>
      <c r="F922" s="16" t="s">
        <v>3419</v>
      </c>
      <c r="G922" s="11"/>
      <c r="H922" s="11"/>
      <c r="I922" s="12">
        <v>0</v>
      </c>
      <c r="J922" s="12">
        <v>0</v>
      </c>
      <c r="K922" s="13" t="str">
        <f t="shared" ref="K922:K923" si="215">HYPERLINK("http://twitter.com/download/android","Twitter for Android")</f>
        <v>Twitter for Android</v>
      </c>
      <c r="L922" s="12">
        <v>25</v>
      </c>
      <c r="M922" s="12">
        <v>70</v>
      </c>
      <c r="N922" s="12">
        <v>0</v>
      </c>
      <c r="O922" s="14"/>
      <c r="P922" s="6">
        <v>41700.980219907404</v>
      </c>
      <c r="Q922" s="11"/>
      <c r="R922" s="18"/>
      <c r="S922" s="11"/>
      <c r="T922" s="11"/>
      <c r="U922" s="10" t="str">
        <f>HYPERLINK("https://pbs.twimg.com/profile_images/1043454730423476224/ljzi3kXs.jpg","View")</f>
        <v>View</v>
      </c>
    </row>
    <row r="923" spans="1:21" ht="51">
      <c r="A923" s="6">
        <v>43440.475162037037</v>
      </c>
      <c r="B923" s="7" t="str">
        <f>HYPERLINK("https://twitter.com/Abelutxo","@Abelutxo")</f>
        <v>@Abelutxo</v>
      </c>
      <c r="C923" s="8" t="s">
        <v>3420</v>
      </c>
      <c r="D923" s="9" t="s">
        <v>3421</v>
      </c>
      <c r="E923" s="10" t="str">
        <f>HYPERLINK("https://twitter.com/Abelutxo/status/1070624953270239232","1070624953270239232")</f>
        <v>1070624953270239232</v>
      </c>
      <c r="F923" s="15" t="s">
        <v>3422</v>
      </c>
      <c r="G923" s="16" t="s">
        <v>3423</v>
      </c>
      <c r="H923" s="11"/>
      <c r="I923" s="12">
        <v>0</v>
      </c>
      <c r="J923" s="12">
        <v>1</v>
      </c>
      <c r="K923" s="13" t="str">
        <f t="shared" si="215"/>
        <v>Twitter for Android</v>
      </c>
      <c r="L923" s="12">
        <v>372</v>
      </c>
      <c r="M923" s="12">
        <v>941</v>
      </c>
      <c r="N923" s="12">
        <v>29</v>
      </c>
      <c r="O923" s="14"/>
      <c r="P923" s="6">
        <v>40373.853587962964</v>
      </c>
      <c r="Q923" s="15" t="s">
        <v>1371</v>
      </c>
      <c r="R923" s="17" t="s">
        <v>3424</v>
      </c>
      <c r="S923" s="16" t="s">
        <v>3425</v>
      </c>
      <c r="T923" s="11"/>
      <c r="U923" s="10" t="str">
        <f>HYPERLINK("https://pbs.twimg.com/profile_images/1254878269/bigotes_abel-798697.jpg","View")</f>
        <v>View</v>
      </c>
    </row>
    <row r="924" spans="1:21" ht="40.799999999999997">
      <c r="A924" s="6">
        <v>43440.473263888889</v>
      </c>
      <c r="B924" s="7" t="str">
        <f>HYPERLINK("https://twitter.com/JMaireles","@JMaireles")</f>
        <v>@JMaireles</v>
      </c>
      <c r="C924" s="8" t="s">
        <v>3426</v>
      </c>
      <c r="D924" s="9" t="s">
        <v>3427</v>
      </c>
      <c r="E924" s="10" t="str">
        <f>HYPERLINK("https://twitter.com/JMaireles/status/1070624265924423681","1070624265924423681")</f>
        <v>1070624265924423681</v>
      </c>
      <c r="F924" s="11"/>
      <c r="G924" s="11"/>
      <c r="H924" s="11"/>
      <c r="I924" s="12">
        <v>0</v>
      </c>
      <c r="J924" s="12">
        <v>0</v>
      </c>
      <c r="K924" s="13" t="str">
        <f>HYPERLINK("http://twitter.com/download/iphone","Twitter for iPhone")</f>
        <v>Twitter for iPhone</v>
      </c>
      <c r="L924" s="12">
        <v>188</v>
      </c>
      <c r="M924" s="12">
        <v>324</v>
      </c>
      <c r="N924" s="12">
        <v>1</v>
      </c>
      <c r="O924" s="14"/>
      <c r="P924" s="6">
        <v>40810.571689814817</v>
      </c>
      <c r="Q924" s="15" t="s">
        <v>56</v>
      </c>
      <c r="R924" s="17" t="s">
        <v>3428</v>
      </c>
      <c r="S924" s="11"/>
      <c r="T924" s="11"/>
      <c r="U924" s="10" t="str">
        <f>HYPERLINK("https://pbs.twimg.com/profile_images/552103277060710400/jFKAIza3.jpeg","View")</f>
        <v>View</v>
      </c>
    </row>
    <row r="925" spans="1:21" ht="51">
      <c r="A925" s="6">
        <v>43440.471944444449</v>
      </c>
      <c r="B925" s="7" t="str">
        <f>HYPERLINK("https://twitter.com/jesusanchoconde","@jesusanchoconde")</f>
        <v>@jesusanchoconde</v>
      </c>
      <c r="C925" s="8" t="s">
        <v>3429</v>
      </c>
      <c r="D925" s="9" t="s">
        <v>3430</v>
      </c>
      <c r="E925" s="10" t="str">
        <f>HYPERLINK("https://twitter.com/jesusanchoconde/status/1070623785064284160","1070623785064284160")</f>
        <v>1070623785064284160</v>
      </c>
      <c r="F925" s="15" t="s">
        <v>3431</v>
      </c>
      <c r="G925" s="11"/>
      <c r="H925" s="11"/>
      <c r="I925" s="12">
        <v>0</v>
      </c>
      <c r="J925" s="12">
        <v>0</v>
      </c>
      <c r="K925" s="13" t="str">
        <f t="shared" ref="K925:K926" si="216">HYPERLINK("http://twitter.com/download/android","Twitter for Android")</f>
        <v>Twitter for Android</v>
      </c>
      <c r="L925" s="12">
        <v>288</v>
      </c>
      <c r="M925" s="12">
        <v>1036</v>
      </c>
      <c r="N925" s="12">
        <v>10</v>
      </c>
      <c r="O925" s="14"/>
      <c r="P925" s="6">
        <v>40761.954988425925</v>
      </c>
      <c r="Q925" s="15" t="s">
        <v>3432</v>
      </c>
      <c r="R925" s="17" t="s">
        <v>3433</v>
      </c>
      <c r="S925" s="11"/>
      <c r="T925" s="11"/>
      <c r="U925" s="10" t="str">
        <f>HYPERLINK("https://pbs.twimg.com/profile_images/1817964305/736gx.jpg","View")</f>
        <v>View</v>
      </c>
    </row>
    <row r="926" spans="1:21" ht="51">
      <c r="A926" s="6">
        <v>43440.47152777778</v>
      </c>
      <c r="B926" s="7" t="str">
        <f>HYPERLINK("https://twitter.com/Locarconio","@Locarconio")</f>
        <v>@Locarconio</v>
      </c>
      <c r="C926" s="8" t="s">
        <v>3434</v>
      </c>
      <c r="D926" s="9" t="s">
        <v>3435</v>
      </c>
      <c r="E926" s="10" t="str">
        <f>HYPERLINK("https://twitter.com/Locarconio/status/1070623636816625668","1070623636816625668")</f>
        <v>1070623636816625668</v>
      </c>
      <c r="F926" s="16" t="s">
        <v>3436</v>
      </c>
      <c r="G926" s="16" t="s">
        <v>3437</v>
      </c>
      <c r="H926" s="11"/>
      <c r="I926" s="12">
        <v>19</v>
      </c>
      <c r="J926" s="12">
        <v>30</v>
      </c>
      <c r="K926" s="13" t="str">
        <f t="shared" si="216"/>
        <v>Twitter for Android</v>
      </c>
      <c r="L926" s="12">
        <v>56706</v>
      </c>
      <c r="M926" s="12">
        <v>1212</v>
      </c>
      <c r="N926" s="12">
        <v>434</v>
      </c>
      <c r="O926" s="23" t="s">
        <v>89</v>
      </c>
      <c r="P926" s="6">
        <v>42327.618425925924</v>
      </c>
      <c r="Q926" s="11"/>
      <c r="R926" s="17" t="s">
        <v>3438</v>
      </c>
      <c r="S926" s="16" t="s">
        <v>3439</v>
      </c>
      <c r="T926" s="11"/>
      <c r="U926" s="10" t="str">
        <f>HYPERLINK("https://pbs.twimg.com/profile_images/1006905064374431747/UaljEz1U.jpg","View")</f>
        <v>View</v>
      </c>
    </row>
    <row r="927" spans="1:21" ht="71.400000000000006">
      <c r="A927" s="6">
        <v>43440.468124999999</v>
      </c>
      <c r="B927" s="7" t="str">
        <f>HYPERLINK("https://twitter.com/nndriu","@nndriu")</f>
        <v>@nndriu</v>
      </c>
      <c r="C927" s="8" t="s">
        <v>2473</v>
      </c>
      <c r="D927" s="9" t="s">
        <v>3440</v>
      </c>
      <c r="E927" s="10" t="str">
        <f>HYPERLINK("https://twitter.com/nndriu/status/1070622400893595648","1070622400893595648")</f>
        <v>1070622400893595648</v>
      </c>
      <c r="F927" s="15" t="s">
        <v>3441</v>
      </c>
      <c r="G927" s="11"/>
      <c r="H927" s="11"/>
      <c r="I927" s="12">
        <v>0</v>
      </c>
      <c r="J927" s="12">
        <v>0</v>
      </c>
      <c r="K927" s="13" t="str">
        <f>HYPERLINK("http://twitter.com","Twitter Web Client")</f>
        <v>Twitter Web Client</v>
      </c>
      <c r="L927" s="12">
        <v>37</v>
      </c>
      <c r="M927" s="12">
        <v>190</v>
      </c>
      <c r="N927" s="12">
        <v>0</v>
      </c>
      <c r="O927" s="14"/>
      <c r="P927" s="6">
        <v>43347.834386574075</v>
      </c>
      <c r="Q927" s="11"/>
      <c r="R927" s="17" t="s">
        <v>2475</v>
      </c>
      <c r="S927" s="11"/>
      <c r="T927" s="11"/>
      <c r="U927" s="10" t="str">
        <f>HYPERLINK("https://pbs.twimg.com/profile_images/1054479085316030464/Wm_b3uk1.jpg","View")</f>
        <v>View</v>
      </c>
    </row>
    <row r="928" spans="1:21" ht="30.6">
      <c r="A928" s="6">
        <v>43440.466967592598</v>
      </c>
      <c r="B928" s="7" t="str">
        <f>HYPERLINK("https://twitter.com/_Juan__A","@_Juan__A")</f>
        <v>@_Juan__A</v>
      </c>
      <c r="C928" s="8" t="s">
        <v>3442</v>
      </c>
      <c r="D928" s="9" t="s">
        <v>3443</v>
      </c>
      <c r="E928" s="10" t="str">
        <f>HYPERLINK("https://twitter.com/_Juan__A/status/1070621983547777024","1070621983547777024")</f>
        <v>1070621983547777024</v>
      </c>
      <c r="F928" s="11"/>
      <c r="G928" s="16" t="s">
        <v>3444</v>
      </c>
      <c r="H928" s="11"/>
      <c r="I928" s="12">
        <v>2</v>
      </c>
      <c r="J928" s="12">
        <v>1</v>
      </c>
      <c r="K928" s="13" t="str">
        <f>HYPERLINK("http://twitter.com/download/android","Twitter for Android")</f>
        <v>Twitter for Android</v>
      </c>
      <c r="L928" s="12">
        <v>3956</v>
      </c>
      <c r="M928" s="12">
        <v>3892</v>
      </c>
      <c r="N928" s="12">
        <v>14</v>
      </c>
      <c r="O928" s="14"/>
      <c r="P928" s="6">
        <v>42359.794803240744</v>
      </c>
      <c r="Q928" s="11"/>
      <c r="R928" s="17" t="s">
        <v>3445</v>
      </c>
      <c r="S928" s="11"/>
      <c r="T928" s="11"/>
      <c r="U928" s="10" t="str">
        <f>HYPERLINK("https://pbs.twimg.com/profile_images/1030067801816530946/hR_kaHH1.jpg","View")</f>
        <v>View</v>
      </c>
    </row>
    <row r="929" spans="1:21" ht="51">
      <c r="A929" s="6">
        <v>43440.465891203705</v>
      </c>
      <c r="B929" s="7" t="str">
        <f>HYPERLINK("https://twitter.com/Tu_alta_voz","@Tu_alta_voz")</f>
        <v>@Tu_alta_voz</v>
      </c>
      <c r="C929" s="8" t="s">
        <v>3446</v>
      </c>
      <c r="D929" s="9" t="s">
        <v>3447</v>
      </c>
      <c r="E929" s="10" t="str">
        <f>HYPERLINK("https://twitter.com/Tu_alta_voz/status/1070621591044845568","1070621591044845568")</f>
        <v>1070621591044845568</v>
      </c>
      <c r="F929" s="11"/>
      <c r="G929" s="11"/>
      <c r="H929" s="11"/>
      <c r="I929" s="12">
        <v>0</v>
      </c>
      <c r="J929" s="12">
        <v>0</v>
      </c>
      <c r="K929" s="13" t="str">
        <f>HYPERLINK("http://twitter.com","Twitter Web Client")</f>
        <v>Twitter Web Client</v>
      </c>
      <c r="L929" s="12">
        <v>20</v>
      </c>
      <c r="M929" s="12">
        <v>54</v>
      </c>
      <c r="N929" s="12">
        <v>0</v>
      </c>
      <c r="O929" s="14"/>
      <c r="P929" s="6">
        <v>42020.462164351848</v>
      </c>
      <c r="Q929" s="15" t="s">
        <v>3448</v>
      </c>
      <c r="R929" s="18"/>
      <c r="S929" s="11"/>
      <c r="T929" s="11"/>
      <c r="U929" s="10" t="str">
        <f>HYPERLINK("https://pbs.twimg.com/profile_images/575730650319228929/2Nny-iHb.jpeg","View")</f>
        <v>View</v>
      </c>
    </row>
    <row r="930" spans="1:21" ht="40.799999999999997">
      <c r="A930" s="6">
        <v>43440.464699074073</v>
      </c>
      <c r="B930" s="7" t="str">
        <f>HYPERLINK("https://twitter.com/vidalizquierdo","@vidalizquierdo")</f>
        <v>@vidalizquierdo</v>
      </c>
      <c r="C930" s="8" t="s">
        <v>3449</v>
      </c>
      <c r="D930" s="9" t="s">
        <v>3450</v>
      </c>
      <c r="E930" s="10" t="str">
        <f>HYPERLINK("https://twitter.com/vidalizquierdo/status/1070621161845866496","1070621161845866496")</f>
        <v>1070621161845866496</v>
      </c>
      <c r="F930" s="16" t="s">
        <v>2006</v>
      </c>
      <c r="G930" s="11"/>
      <c r="H930" s="11"/>
      <c r="I930" s="12">
        <v>0</v>
      </c>
      <c r="J930" s="12">
        <v>0</v>
      </c>
      <c r="K930" s="13" t="str">
        <f>HYPERLINK("http://twitter.com/download/android","Twitter for Android")</f>
        <v>Twitter for Android</v>
      </c>
      <c r="L930" s="12">
        <v>1553</v>
      </c>
      <c r="M930" s="12">
        <v>2294</v>
      </c>
      <c r="N930" s="12">
        <v>107</v>
      </c>
      <c r="O930" s="14"/>
      <c r="P930" s="6">
        <v>40345.783437500002</v>
      </c>
      <c r="Q930" s="15" t="s">
        <v>3451</v>
      </c>
      <c r="R930" s="17" t="s">
        <v>3452</v>
      </c>
      <c r="S930" s="16" t="s">
        <v>3453</v>
      </c>
      <c r="T930" s="11"/>
      <c r="U930" s="10" t="str">
        <f>HYPERLINK("https://pbs.twimg.com/profile_images/1023282945661054976/gsvF5hYP.jpg","View")</f>
        <v>View</v>
      </c>
    </row>
    <row r="931" spans="1:21" ht="40.799999999999997">
      <c r="A931" s="6">
        <v>43440.464456018519</v>
      </c>
      <c r="B931" s="7" t="str">
        <f>HYPERLINK("https://twitter.com/jmiguel_AC","@jmiguel_AC")</f>
        <v>@jmiguel_AC</v>
      </c>
      <c r="C931" s="8" t="s">
        <v>3454</v>
      </c>
      <c r="D931" s="9" t="s">
        <v>3455</v>
      </c>
      <c r="E931" s="10" t="str">
        <f>HYPERLINK("https://twitter.com/jmiguel_AC/status/1070621071076966400","1070621071076966400")</f>
        <v>1070621071076966400</v>
      </c>
      <c r="F931" s="11"/>
      <c r="G931" s="11"/>
      <c r="H931" s="11"/>
      <c r="I931" s="12">
        <v>0</v>
      </c>
      <c r="J931" s="12">
        <v>1</v>
      </c>
      <c r="K931" s="13" t="str">
        <f t="shared" ref="K931:K932" si="217">HYPERLINK("http://twitter.com/download/iphone","Twitter for iPhone")</f>
        <v>Twitter for iPhone</v>
      </c>
      <c r="L931" s="12">
        <v>466</v>
      </c>
      <c r="M931" s="12">
        <v>797</v>
      </c>
      <c r="N931" s="12">
        <v>30</v>
      </c>
      <c r="O931" s="14"/>
      <c r="P931" s="6">
        <v>41073.540324074071</v>
      </c>
      <c r="Q931" s="15" t="s">
        <v>3456</v>
      </c>
      <c r="R931" s="17" t="s">
        <v>3457</v>
      </c>
      <c r="S931" s="16" t="s">
        <v>3458</v>
      </c>
      <c r="T931" s="11"/>
      <c r="U931" s="10" t="str">
        <f>HYPERLINK("https://pbs.twimg.com/profile_images/1033846737113370624/J2842FOt.jpg","View")</f>
        <v>View</v>
      </c>
    </row>
    <row r="932" spans="1:21" ht="51">
      <c r="A932" s="6">
        <v>43440.464108796295</v>
      </c>
      <c r="B932" s="7" t="str">
        <f>HYPERLINK("https://twitter.com/VoxTerrassa","@VoxTerrassa")</f>
        <v>@VoxTerrassa</v>
      </c>
      <c r="C932" s="8" t="s">
        <v>3459</v>
      </c>
      <c r="D932" s="9" t="s">
        <v>3460</v>
      </c>
      <c r="E932" s="10" t="str">
        <f>HYPERLINK("https://twitter.com/VoxTerrassa/status/1070620945931493376","1070620945931493376")</f>
        <v>1070620945931493376</v>
      </c>
      <c r="F932" s="11"/>
      <c r="G932" s="11"/>
      <c r="H932" s="11"/>
      <c r="I932" s="12">
        <v>0</v>
      </c>
      <c r="J932" s="12">
        <v>2</v>
      </c>
      <c r="K932" s="13" t="str">
        <f t="shared" si="217"/>
        <v>Twitter for iPhone</v>
      </c>
      <c r="L932" s="12">
        <v>125</v>
      </c>
      <c r="M932" s="12">
        <v>53</v>
      </c>
      <c r="N932" s="12">
        <v>1</v>
      </c>
      <c r="O932" s="14"/>
      <c r="P932" s="6">
        <v>43183.641932870371</v>
      </c>
      <c r="Q932" s="15" t="s">
        <v>3461</v>
      </c>
      <c r="R932" s="17" t="s">
        <v>3462</v>
      </c>
      <c r="S932" s="16" t="s">
        <v>2218</v>
      </c>
      <c r="T932" s="11"/>
      <c r="U932" s="10" t="str">
        <f>HYPERLINK("https://pbs.twimg.com/profile_images/1053268791700930562/Tct3JseO.jpg","View")</f>
        <v>View</v>
      </c>
    </row>
    <row r="933" spans="1:21" ht="51">
      <c r="A933" s="6">
        <v>43440.463391203702</v>
      </c>
      <c r="B933" s="7" t="str">
        <f>HYPERLINK("https://twitter.com/Arturo_Fsch","@Arturo_Fsch")</f>
        <v>@Arturo_Fsch</v>
      </c>
      <c r="C933" s="8" t="s">
        <v>3463</v>
      </c>
      <c r="D933" s="9" t="s">
        <v>3464</v>
      </c>
      <c r="E933" s="10" t="str">
        <f>HYPERLINK("https://twitter.com/Arturo_Fsch/status/1070620688501878785","1070620688501878785")</f>
        <v>1070620688501878785</v>
      </c>
      <c r="F933" s="11"/>
      <c r="G933" s="16" t="s">
        <v>3465</v>
      </c>
      <c r="H933" s="11"/>
      <c r="I933" s="12">
        <v>6</v>
      </c>
      <c r="J933" s="12">
        <v>5</v>
      </c>
      <c r="K933" s="13" t="str">
        <f>HYPERLINK("http://twitter.com","Twitter Web Client")</f>
        <v>Twitter Web Client</v>
      </c>
      <c r="L933" s="12">
        <v>77</v>
      </c>
      <c r="M933" s="12">
        <v>183</v>
      </c>
      <c r="N933" s="12">
        <v>1</v>
      </c>
      <c r="O933" s="14"/>
      <c r="P933" s="6">
        <v>43145.697939814811</v>
      </c>
      <c r="Q933" s="11"/>
      <c r="R933" s="17" t="s">
        <v>3466</v>
      </c>
      <c r="S933" s="11"/>
      <c r="T933" s="11"/>
      <c r="U933" s="10" t="str">
        <f>HYPERLINK("https://pbs.twimg.com/profile_images/963803317402046464/EnZQPCQy.jpg","View")</f>
        <v>View</v>
      </c>
    </row>
    <row r="934" spans="1:21" ht="40.799999999999997">
      <c r="A934" s="6">
        <v>43440.458275462966</v>
      </c>
      <c r="B934" s="7" t="str">
        <f>HYPERLINK("https://twitter.com/DavidAloGar","@DavidAloGar")</f>
        <v>@DavidAloGar</v>
      </c>
      <c r="C934" s="8" t="s">
        <v>3467</v>
      </c>
      <c r="D934" s="9" t="s">
        <v>3468</v>
      </c>
      <c r="E934" s="10" t="str">
        <f>HYPERLINK("https://twitter.com/DavidAloGar/status/1070618831884861440","1070618831884861440")</f>
        <v>1070618831884861440</v>
      </c>
      <c r="F934" s="11"/>
      <c r="G934" s="16" t="s">
        <v>3469</v>
      </c>
      <c r="H934" s="11"/>
      <c r="I934" s="12">
        <v>0</v>
      </c>
      <c r="J934" s="12">
        <v>1</v>
      </c>
      <c r="K934" s="13" t="str">
        <f>HYPERLINK("http://twitter.com/download/iphone","Twitter for iPhone")</f>
        <v>Twitter for iPhone</v>
      </c>
      <c r="L934" s="12">
        <v>742</v>
      </c>
      <c r="M934" s="12">
        <v>384</v>
      </c>
      <c r="N934" s="12">
        <v>43</v>
      </c>
      <c r="O934" s="14"/>
      <c r="P934" s="6">
        <v>40065.576863425929</v>
      </c>
      <c r="Q934" s="15" t="s">
        <v>3470</v>
      </c>
      <c r="R934" s="17" t="s">
        <v>3471</v>
      </c>
      <c r="S934" s="16" t="s">
        <v>3472</v>
      </c>
      <c r="T934" s="11"/>
      <c r="U934" s="10" t="str">
        <f>HYPERLINK("https://pbs.twimg.com/profile_images/917432782850273280/7tMHIWhp.jpg","View")</f>
        <v>View</v>
      </c>
    </row>
    <row r="935" spans="1:21" ht="71.400000000000006">
      <c r="A935" s="6">
        <v>43440.457314814819</v>
      </c>
      <c r="B935" s="7" t="str">
        <f>HYPERLINK("https://twitter.com/malosera82","@malosera82")</f>
        <v>@malosera82</v>
      </c>
      <c r="C935" s="8" t="s">
        <v>3473</v>
      </c>
      <c r="D935" s="9" t="s">
        <v>3474</v>
      </c>
      <c r="E935" s="10" t="str">
        <f>HYPERLINK("https://twitter.com/malosera82/status/1070618485590556672","1070618485590556672")</f>
        <v>1070618485590556672</v>
      </c>
      <c r="F935" s="16" t="s">
        <v>3475</v>
      </c>
      <c r="G935" s="16" t="s">
        <v>3476</v>
      </c>
      <c r="H935" s="11"/>
      <c r="I935" s="12">
        <v>0</v>
      </c>
      <c r="J935" s="12">
        <v>0</v>
      </c>
      <c r="K935" s="13" t="str">
        <f t="shared" ref="K935:K937" si="218">HYPERLINK("http://twitter.com/download/android","Twitter for Android")</f>
        <v>Twitter for Android</v>
      </c>
      <c r="L935" s="12">
        <v>85</v>
      </c>
      <c r="M935" s="12">
        <v>823</v>
      </c>
      <c r="N935" s="12">
        <v>1</v>
      </c>
      <c r="O935" s="14"/>
      <c r="P935" s="6">
        <v>42775.979201388887</v>
      </c>
      <c r="Q935" s="15" t="s">
        <v>2875</v>
      </c>
      <c r="R935" s="17" t="s">
        <v>3477</v>
      </c>
      <c r="S935" s="11"/>
      <c r="T935" s="11"/>
      <c r="U935" s="10" t="str">
        <f>HYPERLINK("https://pbs.twimg.com/profile_images/891442695142604801/7cE2mZO0.jpg","View")</f>
        <v>View</v>
      </c>
    </row>
    <row r="936" spans="1:21" ht="30.6">
      <c r="A936" s="6">
        <v>43440.451342592598</v>
      </c>
      <c r="B936" s="7" t="str">
        <f>HYPERLINK("https://twitter.com/MiltonBenedict","@MiltonBenedict")</f>
        <v>@MiltonBenedict</v>
      </c>
      <c r="C936" s="8" t="s">
        <v>3478</v>
      </c>
      <c r="D936" s="9" t="s">
        <v>3479</v>
      </c>
      <c r="E936" s="10" t="str">
        <f>HYPERLINK("https://twitter.com/MiltonBenedict/status/1070616318255251456","1070616318255251456")</f>
        <v>1070616318255251456</v>
      </c>
      <c r="F936" s="11"/>
      <c r="G936" s="16" t="s">
        <v>3480</v>
      </c>
      <c r="H936" s="11"/>
      <c r="I936" s="12">
        <v>0</v>
      </c>
      <c r="J936" s="12">
        <v>0</v>
      </c>
      <c r="K936" s="13" t="str">
        <f t="shared" si="218"/>
        <v>Twitter for Android</v>
      </c>
      <c r="L936" s="12">
        <v>12</v>
      </c>
      <c r="M936" s="12">
        <v>60</v>
      </c>
      <c r="N936" s="12">
        <v>0</v>
      </c>
      <c r="O936" s="14"/>
      <c r="P936" s="6">
        <v>43419.898634259254</v>
      </c>
      <c r="Q936" s="15" t="s">
        <v>185</v>
      </c>
      <c r="R936" s="17" t="s">
        <v>3481</v>
      </c>
      <c r="S936" s="11"/>
      <c r="T936" s="11"/>
      <c r="U936" s="10" t="str">
        <f>HYPERLINK("https://pbs.twimg.com/profile_images/1063172049466781703/8PETH5q3.jpg","View")</f>
        <v>View</v>
      </c>
    </row>
    <row r="937" spans="1:21" ht="81.599999999999994">
      <c r="A937" s="6">
        <v>43440.450428240743</v>
      </c>
      <c r="B937" s="7" t="str">
        <f>HYPERLINK("https://twitter.com/potemosssss","@potemosssss")</f>
        <v>@potemosssss</v>
      </c>
      <c r="C937" s="8" t="s">
        <v>3482</v>
      </c>
      <c r="D937" s="9" t="s">
        <v>3483</v>
      </c>
      <c r="E937" s="10" t="str">
        <f>HYPERLINK("https://twitter.com/potemosssss/status/1070615990159974400","1070615990159974400")</f>
        <v>1070615990159974400</v>
      </c>
      <c r="F937" s="16" t="s">
        <v>3484</v>
      </c>
      <c r="G937" s="16" t="s">
        <v>3485</v>
      </c>
      <c r="H937" s="11"/>
      <c r="I937" s="12">
        <v>1</v>
      </c>
      <c r="J937" s="12">
        <v>2</v>
      </c>
      <c r="K937" s="13" t="str">
        <f t="shared" si="218"/>
        <v>Twitter for Android</v>
      </c>
      <c r="L937" s="12">
        <v>67</v>
      </c>
      <c r="M937" s="12">
        <v>81</v>
      </c>
      <c r="N937" s="12">
        <v>0</v>
      </c>
      <c r="O937" s="14"/>
      <c r="P937" s="6">
        <v>43398.603379629625</v>
      </c>
      <c r="Q937" s="15" t="s">
        <v>3486</v>
      </c>
      <c r="R937" s="17" t="s">
        <v>3487</v>
      </c>
      <c r="S937" s="11"/>
      <c r="T937" s="11"/>
      <c r="U937" s="10" t="str">
        <f>HYPERLINK("https://pbs.twimg.com/profile_images/1055496886990368768/ZXtum8rV.jpg","View")</f>
        <v>View</v>
      </c>
    </row>
    <row r="938" spans="1:21" ht="30.6">
      <c r="A938" s="6">
        <v>43440.446030092593</v>
      </c>
      <c r="B938" s="7" t="str">
        <f>HYPERLINK("https://twitter.com/Jfdezgo90","@Jfdezgo90")</f>
        <v>@Jfdezgo90</v>
      </c>
      <c r="C938" s="8" t="s">
        <v>2651</v>
      </c>
      <c r="D938" s="9" t="s">
        <v>3488</v>
      </c>
      <c r="E938" s="10" t="str">
        <f>HYPERLINK("https://twitter.com/Jfdezgo90/status/1070614395145863168","1070614395145863168")</f>
        <v>1070614395145863168</v>
      </c>
      <c r="F938" s="16" t="s">
        <v>3489</v>
      </c>
      <c r="G938" s="16" t="s">
        <v>3490</v>
      </c>
      <c r="H938" s="11"/>
      <c r="I938" s="12">
        <v>0</v>
      </c>
      <c r="J938" s="12">
        <v>0</v>
      </c>
      <c r="K938" s="13" t="str">
        <f t="shared" ref="K938:K939" si="219">HYPERLINK("http://twitter.com/download/iphone","Twitter for iPhone")</f>
        <v>Twitter for iPhone</v>
      </c>
      <c r="L938" s="12">
        <v>1912</v>
      </c>
      <c r="M938" s="12">
        <v>4144</v>
      </c>
      <c r="N938" s="12">
        <v>13</v>
      </c>
      <c r="O938" s="14"/>
      <c r="P938" s="6">
        <v>41800.661921296298</v>
      </c>
      <c r="Q938" s="15" t="s">
        <v>2654</v>
      </c>
      <c r="R938" s="17" t="s">
        <v>2655</v>
      </c>
      <c r="S938" s="16" t="s">
        <v>2656</v>
      </c>
      <c r="T938" s="11"/>
      <c r="U938" s="10" t="str">
        <f>HYPERLINK("https://pbs.twimg.com/profile_images/1013847005817442306/8BV0q5Ut.jpg","View")</f>
        <v>View</v>
      </c>
    </row>
    <row r="939" spans="1:21" ht="20.399999999999999">
      <c r="A939" s="6">
        <v>43440.445914351847</v>
      </c>
      <c r="B939" s="7" t="str">
        <f>HYPERLINK("https://twitter.com/alelopez010115","@alelopez010115")</f>
        <v>@alelopez010115</v>
      </c>
      <c r="C939" s="8" t="s">
        <v>3491</v>
      </c>
      <c r="D939" s="9" t="s">
        <v>3492</v>
      </c>
      <c r="E939" s="10" t="str">
        <f>HYPERLINK("https://twitter.com/alelopez010115/status/1070614351894233088","1070614351894233088")</f>
        <v>1070614351894233088</v>
      </c>
      <c r="F939" s="11"/>
      <c r="G939" s="11"/>
      <c r="H939" s="11"/>
      <c r="I939" s="12">
        <v>0</v>
      </c>
      <c r="J939" s="12">
        <v>3</v>
      </c>
      <c r="K939" s="13" t="str">
        <f t="shared" si="219"/>
        <v>Twitter for iPhone</v>
      </c>
      <c r="L939" s="12">
        <v>525</v>
      </c>
      <c r="M939" s="12">
        <v>223</v>
      </c>
      <c r="N939" s="12">
        <v>3</v>
      </c>
      <c r="O939" s="14"/>
      <c r="P939" s="6">
        <v>41136.519247685181</v>
      </c>
      <c r="Q939" s="15" t="s">
        <v>197</v>
      </c>
      <c r="R939" s="17" t="s">
        <v>3493</v>
      </c>
      <c r="S939" s="11"/>
      <c r="T939" s="11"/>
      <c r="U939" s="10" t="str">
        <f>HYPERLINK("https://pbs.twimg.com/profile_images/802286255174250496/JbfML97K.jpg","View")</f>
        <v>View</v>
      </c>
    </row>
    <row r="940" spans="1:21" ht="40.799999999999997">
      <c r="A940" s="6">
        <v>43440.443796296298</v>
      </c>
      <c r="B940" s="7" t="str">
        <f>HYPERLINK("https://twitter.com/pepecabo","@pepecabo")</f>
        <v>@pepecabo</v>
      </c>
      <c r="C940" s="8" t="s">
        <v>217</v>
      </c>
      <c r="D940" s="9" t="s">
        <v>3494</v>
      </c>
      <c r="E940" s="10" t="str">
        <f>HYPERLINK("https://twitter.com/pepecabo/status/1070613584634368000","1070613584634368000")</f>
        <v>1070613584634368000</v>
      </c>
      <c r="F940" s="15" t="s">
        <v>3495</v>
      </c>
      <c r="G940" s="11"/>
      <c r="H940" s="11"/>
      <c r="I940" s="12">
        <v>1</v>
      </c>
      <c r="J940" s="12">
        <v>0</v>
      </c>
      <c r="K940" s="13" t="str">
        <f>HYPERLINK("http://twitter.com/download/android","Twitter for Android")</f>
        <v>Twitter for Android</v>
      </c>
      <c r="L940" s="12">
        <v>2138</v>
      </c>
      <c r="M940" s="12">
        <v>1822</v>
      </c>
      <c r="N940" s="12">
        <v>73</v>
      </c>
      <c r="O940" s="14"/>
      <c r="P940" s="6">
        <v>41863.749930555554</v>
      </c>
      <c r="Q940" s="11"/>
      <c r="R940" s="17" t="s">
        <v>220</v>
      </c>
      <c r="S940" s="11"/>
      <c r="T940" s="11"/>
      <c r="U940" s="10" t="str">
        <f>HYPERLINK("https://pbs.twimg.com/profile_images/828921457094848515/m6fFp1ck.jpg","View")</f>
        <v>View</v>
      </c>
    </row>
    <row r="941" spans="1:21" ht="81.599999999999994">
      <c r="A941" s="6">
        <v>43440.442129629635</v>
      </c>
      <c r="B941" s="7" t="str">
        <f>HYPERLINK("https://twitter.com/OEquidad","@OEquidad")</f>
        <v>@OEquidad</v>
      </c>
      <c r="C941" s="8" t="s">
        <v>3496</v>
      </c>
      <c r="D941" s="9" t="s">
        <v>3497</v>
      </c>
      <c r="E941" s="10" t="str">
        <f>HYPERLINK("https://twitter.com/OEquidad/status/1070612980402917377","1070612980402917377")</f>
        <v>1070612980402917377</v>
      </c>
      <c r="F941" s="16" t="s">
        <v>3498</v>
      </c>
      <c r="G941" s="11"/>
      <c r="H941" s="11"/>
      <c r="I941" s="12">
        <v>0</v>
      </c>
      <c r="J941" s="12">
        <v>0</v>
      </c>
      <c r="K941" s="13" t="str">
        <f>HYPERLINK("http://twitter.com/download/iphone","Twitter for iPhone")</f>
        <v>Twitter for iPhone</v>
      </c>
      <c r="L941" s="12">
        <v>148</v>
      </c>
      <c r="M941" s="12">
        <v>701</v>
      </c>
      <c r="N941" s="12">
        <v>0</v>
      </c>
      <c r="O941" s="14"/>
      <c r="P941" s="6">
        <v>43329.579606481479</v>
      </c>
      <c r="Q941" s="15" t="s">
        <v>185</v>
      </c>
      <c r="R941" s="17" t="s">
        <v>3499</v>
      </c>
      <c r="S941" s="11"/>
      <c r="T941" s="11"/>
      <c r="U941" s="10" t="str">
        <f>HYPERLINK("https://pbs.twimg.com/profile_images/1030476800353337345/uFi5OkNW.jpg","View")</f>
        <v>View</v>
      </c>
    </row>
    <row r="942" spans="1:21" ht="40.799999999999997">
      <c r="A942" s="6">
        <v>43440.442025462966</v>
      </c>
      <c r="B942" s="7" t="str">
        <f>HYPERLINK("https://twitter.com/Trumpistandaluz","@Trumpistandaluz")</f>
        <v>@Trumpistandaluz</v>
      </c>
      <c r="C942" s="8" t="s">
        <v>3500</v>
      </c>
      <c r="D942" s="9" t="s">
        <v>3501</v>
      </c>
      <c r="E942" s="10" t="str">
        <f>HYPERLINK("https://twitter.com/Trumpistandaluz/status/1070612943887368192","1070612943887368192")</f>
        <v>1070612943887368192</v>
      </c>
      <c r="F942" s="16" t="s">
        <v>3502</v>
      </c>
      <c r="G942" s="11"/>
      <c r="H942" s="11"/>
      <c r="I942" s="12">
        <v>0</v>
      </c>
      <c r="J942" s="12">
        <v>0</v>
      </c>
      <c r="K942" s="13" t="str">
        <f>HYPERLINK("http://twitter.com/download/android","Twitter for Android")</f>
        <v>Twitter for Android</v>
      </c>
      <c r="L942" s="12">
        <v>189</v>
      </c>
      <c r="M942" s="12">
        <v>400</v>
      </c>
      <c r="N942" s="12">
        <v>1</v>
      </c>
      <c r="O942" s="14"/>
      <c r="P942" s="6">
        <v>42171.66542824074</v>
      </c>
      <c r="Q942" s="15" t="s">
        <v>3503</v>
      </c>
      <c r="R942" s="17" t="s">
        <v>3504</v>
      </c>
      <c r="S942" s="11"/>
      <c r="T942" s="11"/>
      <c r="U942" s="10" t="str">
        <f>HYPERLINK("https://pbs.twimg.com/profile_images/1005865989043437568/yhGve0il.jpg","View")</f>
        <v>View</v>
      </c>
    </row>
    <row r="943" spans="1:21" ht="51">
      <c r="A943" s="6">
        <v>43440.441678240742</v>
      </c>
      <c r="B943" s="7" t="str">
        <f>HYPERLINK("https://twitter.com/GuillermoRodiaz","@GuillermoRodiaz")</f>
        <v>@GuillermoRodiaz</v>
      </c>
      <c r="C943" s="8" t="s">
        <v>3505</v>
      </c>
      <c r="D943" s="9" t="s">
        <v>3506</v>
      </c>
      <c r="E943" s="10" t="str">
        <f>HYPERLINK("https://twitter.com/GuillermoRodiaz/status/1070612817269661696","1070612817269661696")</f>
        <v>1070612817269661696</v>
      </c>
      <c r="F943" s="11"/>
      <c r="G943" s="11"/>
      <c r="H943" s="11"/>
      <c r="I943" s="12">
        <v>2</v>
      </c>
      <c r="J943" s="12">
        <v>2</v>
      </c>
      <c r="K943" s="13" t="str">
        <f>HYPERLINK("http://twitter.com/download/iphone","Twitter for iPhone")</f>
        <v>Twitter for iPhone</v>
      </c>
      <c r="L943" s="12">
        <v>271</v>
      </c>
      <c r="M943" s="12">
        <v>141</v>
      </c>
      <c r="N943" s="12">
        <v>15</v>
      </c>
      <c r="O943" s="14"/>
      <c r="P943" s="6">
        <v>40455.796261574076</v>
      </c>
      <c r="Q943" s="15" t="s">
        <v>3507</v>
      </c>
      <c r="R943" s="17" t="s">
        <v>3508</v>
      </c>
      <c r="S943" s="11"/>
      <c r="T943" s="11"/>
      <c r="U943" s="10" t="str">
        <f>HYPERLINK("https://pbs.twimg.com/profile_images/851082443042033666/3oNX9cft.jpg","View")</f>
        <v>View</v>
      </c>
    </row>
    <row r="944" spans="1:21" ht="71.400000000000006">
      <c r="A944" s="6">
        <v>43440.440833333334</v>
      </c>
      <c r="B944" s="7" t="str">
        <f>HYPERLINK("https://twitter.com/Ivan_Pietri","@Ivan_Pietri")</f>
        <v>@Ivan_Pietri</v>
      </c>
      <c r="C944" s="8" t="s">
        <v>3509</v>
      </c>
      <c r="D944" s="9" t="s">
        <v>3510</v>
      </c>
      <c r="E944" s="10" t="str">
        <f>HYPERLINK("https://twitter.com/Ivan_Pietri/status/1070612510200524800","1070612510200524800")</f>
        <v>1070612510200524800</v>
      </c>
      <c r="F944" s="16" t="s">
        <v>3511</v>
      </c>
      <c r="G944" s="16" t="s">
        <v>3512</v>
      </c>
      <c r="H944" s="11"/>
      <c r="I944" s="12">
        <v>7</v>
      </c>
      <c r="J944" s="12">
        <v>5</v>
      </c>
      <c r="K944" s="13" t="str">
        <f t="shared" ref="K944:K945" si="220">HYPERLINK("http://twitter.com/download/android","Twitter for Android")</f>
        <v>Twitter for Android</v>
      </c>
      <c r="L944" s="12">
        <v>33325</v>
      </c>
      <c r="M944" s="12">
        <v>33251</v>
      </c>
      <c r="N944" s="12">
        <v>119</v>
      </c>
      <c r="O944" s="14"/>
      <c r="P944" s="6">
        <v>41374.792569444442</v>
      </c>
      <c r="Q944" s="15" t="s">
        <v>3513</v>
      </c>
      <c r="R944" s="17" t="s">
        <v>3514</v>
      </c>
      <c r="S944" s="16" t="s">
        <v>3515</v>
      </c>
      <c r="T944" s="11"/>
      <c r="U944" s="10" t="str">
        <f>HYPERLINK("https://pbs.twimg.com/profile_images/617459660602372096/5DOvWcMM.jpg","View")</f>
        <v>View</v>
      </c>
    </row>
    <row r="945" spans="1:21" ht="51">
      <c r="A945" s="6">
        <v>43440.438784722224</v>
      </c>
      <c r="B945" s="7" t="str">
        <f>HYPERLINK("https://twitter.com/Unademadrid","@Unademadrid")</f>
        <v>@Unademadrid</v>
      </c>
      <c r="C945" s="8" t="s">
        <v>2844</v>
      </c>
      <c r="D945" s="9" t="s">
        <v>3516</v>
      </c>
      <c r="E945" s="10" t="str">
        <f>HYPERLINK("https://twitter.com/Unademadrid/status/1070611769729667072","1070611769729667072")</f>
        <v>1070611769729667072</v>
      </c>
      <c r="F945" s="15" t="s">
        <v>3517</v>
      </c>
      <c r="G945" s="11"/>
      <c r="H945" s="11"/>
      <c r="I945" s="12">
        <v>0</v>
      </c>
      <c r="J945" s="12">
        <v>0</v>
      </c>
      <c r="K945" s="13" t="str">
        <f t="shared" si="220"/>
        <v>Twitter for Android</v>
      </c>
      <c r="L945" s="12">
        <v>2646</v>
      </c>
      <c r="M945" s="12">
        <v>1907</v>
      </c>
      <c r="N945" s="12">
        <v>58</v>
      </c>
      <c r="O945" s="14"/>
      <c r="P945" s="6">
        <v>40757.467905092592</v>
      </c>
      <c r="Q945" s="11"/>
      <c r="R945" s="17" t="s">
        <v>2845</v>
      </c>
      <c r="S945" s="11"/>
      <c r="T945" s="11"/>
      <c r="U945" s="10" t="str">
        <f>HYPERLINK("https://pbs.twimg.com/profile_images/1839076821/MANUEL_1.JPG","View")</f>
        <v>View</v>
      </c>
    </row>
    <row r="946" spans="1:21" ht="51">
      <c r="A946" s="6">
        <v>43440.432974537034</v>
      </c>
      <c r="B946" s="7" t="str">
        <f>HYPERLINK("https://twitter.com/Jose_Martinez72","@Jose_Martinez72")</f>
        <v>@Jose_Martinez72</v>
      </c>
      <c r="C946" s="8" t="s">
        <v>3518</v>
      </c>
      <c r="D946" s="9" t="s">
        <v>3519</v>
      </c>
      <c r="E946" s="10" t="str">
        <f>HYPERLINK("https://twitter.com/Jose_Martinez72/status/1070609664591781888","1070609664591781888")</f>
        <v>1070609664591781888</v>
      </c>
      <c r="F946" s="11"/>
      <c r="G946" s="16" t="s">
        <v>3520</v>
      </c>
      <c r="H946" s="11"/>
      <c r="I946" s="12">
        <v>0</v>
      </c>
      <c r="J946" s="12">
        <v>0</v>
      </c>
      <c r="K946" s="13" t="str">
        <f>HYPERLINK("http://www.facebook.com/twitter","Facebook")</f>
        <v>Facebook</v>
      </c>
      <c r="L946" s="12">
        <v>953</v>
      </c>
      <c r="M946" s="12">
        <v>887</v>
      </c>
      <c r="N946" s="12">
        <v>10</v>
      </c>
      <c r="O946" s="14"/>
      <c r="P946" s="6">
        <v>42885.782453703709</v>
      </c>
      <c r="Q946" s="15" t="s">
        <v>1048</v>
      </c>
      <c r="R946" s="17" t="s">
        <v>3521</v>
      </c>
      <c r="S946" s="16" t="s">
        <v>3522</v>
      </c>
      <c r="T946" s="11"/>
      <c r="U946" s="10" t="str">
        <f>HYPERLINK("https://pbs.twimg.com/profile_images/1070255843386556416/yQDMZSox.jpg","View")</f>
        <v>View</v>
      </c>
    </row>
    <row r="947" spans="1:21" ht="51">
      <c r="A947" s="6">
        <v>43440.431539351848</v>
      </c>
      <c r="B947" s="7" t="str">
        <f>HYPERLINK("https://twitter.com/Dre_santander","@Dre_santander")</f>
        <v>@Dre_santander</v>
      </c>
      <c r="C947" s="8" t="s">
        <v>3523</v>
      </c>
      <c r="D947" s="9" t="s">
        <v>3524</v>
      </c>
      <c r="E947" s="10" t="str">
        <f>HYPERLINK("https://twitter.com/Dre_santander/status/1070609145240399872","1070609145240399872")</f>
        <v>1070609145240399872</v>
      </c>
      <c r="F947" s="11"/>
      <c r="G947" s="16" t="s">
        <v>3525</v>
      </c>
      <c r="H947" s="11"/>
      <c r="I947" s="12">
        <v>1</v>
      </c>
      <c r="J947" s="12">
        <v>8</v>
      </c>
      <c r="K947" s="13" t="str">
        <f t="shared" ref="K947:K948" si="221">HYPERLINK("http://twitter.com","Twitter Web Client")</f>
        <v>Twitter Web Client</v>
      </c>
      <c r="L947" s="12">
        <v>702</v>
      </c>
      <c r="M947" s="12">
        <v>3904</v>
      </c>
      <c r="N947" s="12">
        <v>12</v>
      </c>
      <c r="O947" s="14"/>
      <c r="P947" s="6">
        <v>40820.805127314816</v>
      </c>
      <c r="Q947" s="15" t="s">
        <v>3526</v>
      </c>
      <c r="R947" s="17" t="s">
        <v>3527</v>
      </c>
      <c r="S947" s="16" t="s">
        <v>3528</v>
      </c>
      <c r="T947" s="11"/>
      <c r="U947" s="10" t="str">
        <f>HYPERLINK("https://pbs.twimg.com/profile_images/1018161823785332736/LRQQ-_KF.jpg","View")</f>
        <v>View</v>
      </c>
    </row>
    <row r="948" spans="1:21" ht="71.400000000000006">
      <c r="A948" s="6">
        <v>43440.431273148148</v>
      </c>
      <c r="B948" s="7" t="str">
        <f>HYPERLINK("https://twitter.com/catolica_a","@catolica_a")</f>
        <v>@catolica_a</v>
      </c>
      <c r="C948" s="8" t="s">
        <v>3529</v>
      </c>
      <c r="D948" s="9" t="s">
        <v>3530</v>
      </c>
      <c r="E948" s="10" t="str">
        <f>HYPERLINK("https://twitter.com/catolica_a/status/1070609048633073664","1070609048633073664")</f>
        <v>1070609048633073664</v>
      </c>
      <c r="F948" s="16" t="s">
        <v>2670</v>
      </c>
      <c r="G948" s="16" t="s">
        <v>2671</v>
      </c>
      <c r="H948" s="11"/>
      <c r="I948" s="12">
        <v>1</v>
      </c>
      <c r="J948" s="12">
        <v>4</v>
      </c>
      <c r="K948" s="13" t="str">
        <f t="shared" si="221"/>
        <v>Twitter Web Client</v>
      </c>
      <c r="L948" s="12">
        <v>233</v>
      </c>
      <c r="M948" s="12">
        <v>485</v>
      </c>
      <c r="N948" s="12">
        <v>2</v>
      </c>
      <c r="O948" s="14"/>
      <c r="P948" s="6">
        <v>43361.531967592593</v>
      </c>
      <c r="Q948" s="11"/>
      <c r="R948" s="17" t="s">
        <v>3531</v>
      </c>
      <c r="S948" s="16" t="s">
        <v>3532</v>
      </c>
      <c r="T948" s="11"/>
      <c r="U948" s="10" t="str">
        <f>HYPERLINK("https://pbs.twimg.com/profile_images/1049276463080517637/JbiLi6HO.jpg","View")</f>
        <v>View</v>
      </c>
    </row>
    <row r="949" spans="1:21" ht="51">
      <c r="A949" s="6">
        <v>43440.429733796293</v>
      </c>
      <c r="B949" s="7" t="str">
        <f>HYPERLINK("https://twitter.com/maribelfdez2","@maribelfdez2")</f>
        <v>@maribelfdez2</v>
      </c>
      <c r="C949" s="8" t="s">
        <v>3533</v>
      </c>
      <c r="D949" s="9" t="s">
        <v>3534</v>
      </c>
      <c r="E949" s="10" t="str">
        <f>HYPERLINK("https://twitter.com/maribelfdez2/status/1070608489272274945","1070608489272274945")</f>
        <v>1070608489272274945</v>
      </c>
      <c r="F949" s="11"/>
      <c r="G949" s="11"/>
      <c r="H949" s="11"/>
      <c r="I949" s="12">
        <v>0</v>
      </c>
      <c r="J949" s="12">
        <v>2</v>
      </c>
      <c r="K949" s="13" t="str">
        <f>HYPERLINK("http://twitter.com/download/iphone","Twitter for iPhone")</f>
        <v>Twitter for iPhone</v>
      </c>
      <c r="L949" s="12">
        <v>106</v>
      </c>
      <c r="M949" s="12">
        <v>286</v>
      </c>
      <c r="N949" s="12">
        <v>0</v>
      </c>
      <c r="O949" s="14"/>
      <c r="P949" s="6">
        <v>41836.768425925926</v>
      </c>
      <c r="Q949" s="11"/>
      <c r="R949" s="18"/>
      <c r="S949" s="11"/>
      <c r="T949" s="11"/>
      <c r="U949" s="10" t="str">
        <f>HYPERLINK("https://pbs.twimg.com/profile_images/960572663616933890/p2dwQ3-h.jpg","View")</f>
        <v>View</v>
      </c>
    </row>
    <row r="950" spans="1:21" ht="51">
      <c r="A950" s="6">
        <v>43440.42805555556</v>
      </c>
      <c r="B950" s="7" t="str">
        <f>HYPERLINK("https://twitter.com/ricarpl","@ricarpl")</f>
        <v>@ricarpl</v>
      </c>
      <c r="C950" s="8" t="s">
        <v>3535</v>
      </c>
      <c r="D950" s="9" t="s">
        <v>3536</v>
      </c>
      <c r="E950" s="10" t="str">
        <f>HYPERLINK("https://twitter.com/ricarpl/status/1070607879361712129","1070607879361712129")</f>
        <v>1070607879361712129</v>
      </c>
      <c r="F950" s="16" t="s">
        <v>772</v>
      </c>
      <c r="G950" s="11"/>
      <c r="H950" s="11"/>
      <c r="I950" s="12">
        <v>0</v>
      </c>
      <c r="J950" s="12">
        <v>5</v>
      </c>
      <c r="K950" s="13" t="str">
        <f>HYPERLINK("http://twitter.com/download/android","Twitter for Android")</f>
        <v>Twitter for Android</v>
      </c>
      <c r="L950" s="12">
        <v>3605</v>
      </c>
      <c r="M950" s="12">
        <v>403</v>
      </c>
      <c r="N950" s="12">
        <v>47</v>
      </c>
      <c r="O950" s="14"/>
      <c r="P950" s="6">
        <v>40469.738969907405</v>
      </c>
      <c r="Q950" s="15" t="s">
        <v>3537</v>
      </c>
      <c r="R950" s="17" t="s">
        <v>3538</v>
      </c>
      <c r="S950" s="11"/>
      <c r="T950" s="11"/>
      <c r="U950" s="10" t="str">
        <f>HYPERLINK("https://pbs.twimg.com/profile_images/606108992436371456/1tQFb-gf.jpg","View")</f>
        <v>View</v>
      </c>
    </row>
    <row r="951" spans="1:21" ht="40.799999999999997">
      <c r="A951" s="6">
        <v>43440.427164351851</v>
      </c>
      <c r="B951" s="7" t="str">
        <f>HYPERLINK("https://twitter.com/MiguelAGBatista","@MiguelAGBatista")</f>
        <v>@MiguelAGBatista</v>
      </c>
      <c r="C951" s="8" t="s">
        <v>1072</v>
      </c>
      <c r="D951" s="9" t="s">
        <v>3539</v>
      </c>
      <c r="E951" s="10" t="str">
        <f>HYPERLINK("https://twitter.com/MiguelAGBatista/status/1070607559583776768","1070607559583776768")</f>
        <v>1070607559583776768</v>
      </c>
      <c r="F951" s="16" t="s">
        <v>3540</v>
      </c>
      <c r="G951" s="11"/>
      <c r="H951" s="11"/>
      <c r="I951" s="12">
        <v>0</v>
      </c>
      <c r="J951" s="12">
        <v>0</v>
      </c>
      <c r="K951" s="13" t="str">
        <f>HYPERLINK("https://www.hootsuite.com","Hootsuite Inc.")</f>
        <v>Hootsuite Inc.</v>
      </c>
      <c r="L951" s="12">
        <v>3066</v>
      </c>
      <c r="M951" s="12">
        <v>2755</v>
      </c>
      <c r="N951" s="12">
        <v>90</v>
      </c>
      <c r="O951" s="14"/>
      <c r="P951" s="6">
        <v>39928.688194444447</v>
      </c>
      <c r="Q951" s="15" t="s">
        <v>1076</v>
      </c>
      <c r="R951" s="17" t="s">
        <v>1077</v>
      </c>
      <c r="S951" s="11"/>
      <c r="T951" s="11"/>
      <c r="U951" s="10" t="str">
        <f>HYPERLINK("https://pbs.twimg.com/profile_images/917118513151692801/H_YCvEKH.jpg","View")</f>
        <v>View</v>
      </c>
    </row>
    <row r="952" spans="1:21" ht="20.399999999999999">
      <c r="A952" s="6">
        <v>43440.426168981481</v>
      </c>
      <c r="B952" s="7" t="str">
        <f>HYPERLINK("https://twitter.com/drmiguelbenitez","@drmiguelbenitez")</f>
        <v>@drmiguelbenitez</v>
      </c>
      <c r="C952" s="8" t="s">
        <v>3541</v>
      </c>
      <c r="D952" s="9" t="s">
        <v>3542</v>
      </c>
      <c r="E952" s="10" t="str">
        <f>HYPERLINK("https://twitter.com/drmiguelbenitez/status/1070607199628656640","1070607199628656640")</f>
        <v>1070607199628656640</v>
      </c>
      <c r="F952" s="11"/>
      <c r="G952" s="11"/>
      <c r="H952" s="11"/>
      <c r="I952" s="12">
        <v>0</v>
      </c>
      <c r="J952" s="12">
        <v>0</v>
      </c>
      <c r="K952" s="13" t="str">
        <f t="shared" ref="K952:K953" si="222">HYPERLINK("http://twitter.com/download/iphone","Twitter for iPhone")</f>
        <v>Twitter for iPhone</v>
      </c>
      <c r="L952" s="12">
        <v>197</v>
      </c>
      <c r="M952" s="12">
        <v>308</v>
      </c>
      <c r="N952" s="12">
        <v>7</v>
      </c>
      <c r="O952" s="14"/>
      <c r="P952" s="6">
        <v>40433.521979166668</v>
      </c>
      <c r="Q952" s="15" t="s">
        <v>612</v>
      </c>
      <c r="R952" s="17" t="s">
        <v>3543</v>
      </c>
      <c r="S952" s="11"/>
      <c r="T952" s="11"/>
      <c r="U952" s="10" t="str">
        <f>HYPERLINK("https://pbs.twimg.com/profile_images/1060978334060941313/rEivBUbl.jpg","View")</f>
        <v>View</v>
      </c>
    </row>
    <row r="953" spans="1:21" ht="30.6">
      <c r="A953" s="6">
        <v>43440.425300925926</v>
      </c>
      <c r="B953" s="7" t="str">
        <f>HYPERLINK("https://twitter.com/jrgnueve","@jrgnueve")</f>
        <v>@jrgnueve</v>
      </c>
      <c r="C953" s="8" t="s">
        <v>3544</v>
      </c>
      <c r="D953" s="9" t="s">
        <v>3545</v>
      </c>
      <c r="E953" s="10" t="str">
        <f>HYPERLINK("https://twitter.com/jrgnueve/status/1070606882681831424","1070606882681831424")</f>
        <v>1070606882681831424</v>
      </c>
      <c r="F953" s="16" t="s">
        <v>3546</v>
      </c>
      <c r="G953" s="11"/>
      <c r="H953" s="11"/>
      <c r="I953" s="12">
        <v>0</v>
      </c>
      <c r="J953" s="12">
        <v>2</v>
      </c>
      <c r="K953" s="13" t="str">
        <f t="shared" si="222"/>
        <v>Twitter for iPhone</v>
      </c>
      <c r="L953" s="12">
        <v>950</v>
      </c>
      <c r="M953" s="12">
        <v>1646</v>
      </c>
      <c r="N953" s="12">
        <v>12</v>
      </c>
      <c r="O953" s="14"/>
      <c r="P953" s="6">
        <v>40922.718148148146</v>
      </c>
      <c r="Q953" s="11"/>
      <c r="R953" s="17" t="s">
        <v>3547</v>
      </c>
      <c r="S953" s="11"/>
      <c r="T953" s="11"/>
      <c r="U953" s="10" t="str">
        <f>HYPERLINK("https://pbs.twimg.com/profile_images/561178122276859904/ZFko4_lj.jpeg","View")</f>
        <v>View</v>
      </c>
    </row>
    <row r="954" spans="1:21" ht="61.2">
      <c r="A954" s="6">
        <v>43440.424710648149</v>
      </c>
      <c r="B954" s="7" t="str">
        <f>HYPERLINK("https://twitter.com/MarquezBermudez","@MarquezBermudez")</f>
        <v>@MarquezBermudez</v>
      </c>
      <c r="C954" s="8" t="s">
        <v>3548</v>
      </c>
      <c r="D954" s="9" t="s">
        <v>3549</v>
      </c>
      <c r="E954" s="10" t="str">
        <f>HYPERLINK("https://twitter.com/MarquezBermudez/status/1070606667480526849","1070606667480526849")</f>
        <v>1070606667480526849</v>
      </c>
      <c r="F954" s="16" t="s">
        <v>2766</v>
      </c>
      <c r="G954" s="16" t="s">
        <v>2767</v>
      </c>
      <c r="H954" s="11"/>
      <c r="I954" s="12">
        <v>0</v>
      </c>
      <c r="J954" s="12">
        <v>0</v>
      </c>
      <c r="K954" s="13" t="str">
        <f t="shared" ref="K954:K959" si="223">HYPERLINK("http://twitter.com/download/android","Twitter for Android")</f>
        <v>Twitter for Android</v>
      </c>
      <c r="L954" s="12">
        <v>881</v>
      </c>
      <c r="M954" s="12">
        <v>624</v>
      </c>
      <c r="N954" s="12">
        <v>35</v>
      </c>
      <c r="O954" s="14"/>
      <c r="P954" s="6">
        <v>40712.634930555556</v>
      </c>
      <c r="Q954" s="15" t="s">
        <v>3550</v>
      </c>
      <c r="R954" s="17" t="s">
        <v>3551</v>
      </c>
      <c r="S954" s="11"/>
      <c r="T954" s="11"/>
      <c r="U954" s="10" t="str">
        <f>HYPERLINK("https://pbs.twimg.com/profile_images/980552724004659201/8INE6AqF.jpg","View")</f>
        <v>View</v>
      </c>
    </row>
    <row r="955" spans="1:21" ht="20.399999999999999">
      <c r="A955" s="6">
        <v>43440.422847222224</v>
      </c>
      <c r="B955" s="7" t="str">
        <f>HYPERLINK("https://twitter.com/radiopolla","@radiopolla")</f>
        <v>@radiopolla</v>
      </c>
      <c r="C955" s="8" t="s">
        <v>2189</v>
      </c>
      <c r="D955" s="9" t="s">
        <v>3552</v>
      </c>
      <c r="E955" s="10" t="str">
        <f>HYPERLINK("https://twitter.com/radiopolla/status/1070605993371811840","1070605993371811840")</f>
        <v>1070605993371811840</v>
      </c>
      <c r="F955" s="11"/>
      <c r="G955" s="11"/>
      <c r="H955" s="11"/>
      <c r="I955" s="12">
        <v>7</v>
      </c>
      <c r="J955" s="12">
        <v>19</v>
      </c>
      <c r="K955" s="13" t="str">
        <f t="shared" si="223"/>
        <v>Twitter for Android</v>
      </c>
      <c r="L955" s="12">
        <v>9843</v>
      </c>
      <c r="M955" s="12">
        <v>10038</v>
      </c>
      <c r="N955" s="12">
        <v>12</v>
      </c>
      <c r="O955" s="14"/>
      <c r="P955" s="6">
        <v>43148.488182870366</v>
      </c>
      <c r="Q955" s="11"/>
      <c r="R955" s="17" t="s">
        <v>2192</v>
      </c>
      <c r="S955" s="11"/>
      <c r="T955" s="11"/>
      <c r="U955" s="10" t="str">
        <f>HYPERLINK("https://pbs.twimg.com/profile_images/1061255198906216449/j4iwKX5_.jpg","View")</f>
        <v>View</v>
      </c>
    </row>
    <row r="956" spans="1:21" ht="51">
      <c r="A956" s="6">
        <v>43440.422384259262</v>
      </c>
      <c r="B956" s="7" t="str">
        <f>HYPERLINK("https://twitter.com/Jose_Martinez72","@Jose_Martinez72")</f>
        <v>@Jose_Martinez72</v>
      </c>
      <c r="C956" s="8" t="s">
        <v>3518</v>
      </c>
      <c r="D956" s="9" t="s">
        <v>3553</v>
      </c>
      <c r="E956" s="10" t="str">
        <f>HYPERLINK("https://twitter.com/Jose_Martinez72/status/1070605827982143488","1070605827982143488")</f>
        <v>1070605827982143488</v>
      </c>
      <c r="F956" s="11"/>
      <c r="G956" s="16" t="s">
        <v>3520</v>
      </c>
      <c r="H956" s="11"/>
      <c r="I956" s="12">
        <v>4</v>
      </c>
      <c r="J956" s="12">
        <v>5</v>
      </c>
      <c r="K956" s="13" t="str">
        <f t="shared" si="223"/>
        <v>Twitter for Android</v>
      </c>
      <c r="L956" s="12">
        <v>953</v>
      </c>
      <c r="M956" s="12">
        <v>887</v>
      </c>
      <c r="N956" s="12">
        <v>10</v>
      </c>
      <c r="O956" s="14"/>
      <c r="P956" s="6">
        <v>42885.782453703709</v>
      </c>
      <c r="Q956" s="15" t="s">
        <v>1048</v>
      </c>
      <c r="R956" s="17" t="s">
        <v>3521</v>
      </c>
      <c r="S956" s="16" t="s">
        <v>3522</v>
      </c>
      <c r="T956" s="11"/>
      <c r="U956" s="10" t="str">
        <f>HYPERLINK("https://pbs.twimg.com/profile_images/1070255843386556416/yQDMZSox.jpg","View")</f>
        <v>View</v>
      </c>
    </row>
    <row r="957" spans="1:21" ht="40.799999999999997">
      <c r="A957" s="6">
        <v>43440.422361111108</v>
      </c>
      <c r="B957" s="7" t="str">
        <f>HYPERLINK("https://twitter.com/mikihoyos","@mikihoyos")</f>
        <v>@mikihoyos</v>
      </c>
      <c r="C957" s="8" t="s">
        <v>3554</v>
      </c>
      <c r="D957" s="9" t="s">
        <v>3555</v>
      </c>
      <c r="E957" s="10" t="str">
        <f>HYPERLINK("https://twitter.com/mikihoyos/status/1070605816359776256","1070605816359776256")</f>
        <v>1070605816359776256</v>
      </c>
      <c r="F957" s="16" t="s">
        <v>3556</v>
      </c>
      <c r="G957" s="11"/>
      <c r="H957" s="11"/>
      <c r="I957" s="12">
        <v>1</v>
      </c>
      <c r="J957" s="12">
        <v>2</v>
      </c>
      <c r="K957" s="13" t="str">
        <f t="shared" si="223"/>
        <v>Twitter for Android</v>
      </c>
      <c r="L957" s="12">
        <v>9403</v>
      </c>
      <c r="M957" s="12">
        <v>7649</v>
      </c>
      <c r="N957" s="12">
        <v>163</v>
      </c>
      <c r="O957" s="14"/>
      <c r="P957" s="6">
        <v>40661.414722222224</v>
      </c>
      <c r="Q957" s="15" t="s">
        <v>2875</v>
      </c>
      <c r="R957" s="17" t="s">
        <v>3557</v>
      </c>
      <c r="S957" s="11"/>
      <c r="T957" s="11"/>
      <c r="U957" s="10" t="str">
        <f>HYPERLINK("https://pbs.twimg.com/profile_images/1069548523098648576/ydkGrxO_.jpg","View")</f>
        <v>View</v>
      </c>
    </row>
    <row r="958" spans="1:21" ht="51">
      <c r="A958" s="6">
        <v>43440.421782407408</v>
      </c>
      <c r="B958" s="7" t="str">
        <f>HYPERLINK("https://twitter.com/jfcdrr","@jfcdrr")</f>
        <v>@jfcdrr</v>
      </c>
      <c r="C958" s="8" t="s">
        <v>2370</v>
      </c>
      <c r="D958" s="9" t="s">
        <v>3558</v>
      </c>
      <c r="E958" s="10" t="str">
        <f>HYPERLINK("https://twitter.com/jfcdrr/status/1070605608984940544","1070605608984940544")</f>
        <v>1070605608984940544</v>
      </c>
      <c r="F958" s="15" t="s">
        <v>3559</v>
      </c>
      <c r="G958" s="11"/>
      <c r="H958" s="11"/>
      <c r="I958" s="12">
        <v>1</v>
      </c>
      <c r="J958" s="12">
        <v>1</v>
      </c>
      <c r="K958" s="13" t="str">
        <f t="shared" si="223"/>
        <v>Twitter for Android</v>
      </c>
      <c r="L958" s="12">
        <v>584</v>
      </c>
      <c r="M958" s="12">
        <v>1431</v>
      </c>
      <c r="N958" s="12">
        <v>66</v>
      </c>
      <c r="O958" s="14"/>
      <c r="P958" s="6">
        <v>40802.800324074073</v>
      </c>
      <c r="Q958" s="15" t="s">
        <v>2374</v>
      </c>
      <c r="R958" s="17" t="s">
        <v>2375</v>
      </c>
      <c r="S958" s="11"/>
      <c r="T958" s="11"/>
      <c r="U958" s="10" t="str">
        <f>HYPERLINK("https://pbs.twimg.com/profile_images/1578091303/image.jpg","View")</f>
        <v>View</v>
      </c>
    </row>
    <row r="959" spans="1:21" ht="71.400000000000006">
      <c r="A959" s="6">
        <v>43440.421678240746</v>
      </c>
      <c r="B959" s="7" t="str">
        <f>HYPERLINK("https://twitter.com/Miguichiqui","@Miguichiqui")</f>
        <v>@Miguichiqui</v>
      </c>
      <c r="C959" s="8" t="s">
        <v>3560</v>
      </c>
      <c r="D959" s="9" t="s">
        <v>3561</v>
      </c>
      <c r="E959" s="10" t="str">
        <f>HYPERLINK("https://twitter.com/Miguichiqui/status/1070605571236249600","1070605571236249600")</f>
        <v>1070605571236249600</v>
      </c>
      <c r="F959" s="16" t="s">
        <v>3562</v>
      </c>
      <c r="G959" s="16" t="s">
        <v>3563</v>
      </c>
      <c r="H959" s="11"/>
      <c r="I959" s="12">
        <v>0</v>
      </c>
      <c r="J959" s="12">
        <v>1</v>
      </c>
      <c r="K959" s="13" t="str">
        <f t="shared" si="223"/>
        <v>Twitter for Android</v>
      </c>
      <c r="L959" s="12">
        <v>128</v>
      </c>
      <c r="M959" s="12">
        <v>368</v>
      </c>
      <c r="N959" s="12">
        <v>0</v>
      </c>
      <c r="O959" s="14"/>
      <c r="P959" s="6">
        <v>41461.361944444448</v>
      </c>
      <c r="Q959" s="15" t="s">
        <v>3564</v>
      </c>
      <c r="R959" s="17" t="s">
        <v>3565</v>
      </c>
      <c r="S959" s="11"/>
      <c r="T959" s="11"/>
      <c r="U959" s="10" t="str">
        <f>HYPERLINK("https://pbs.twimg.com/profile_images/1070020545972965376/LgPCwZtF.jpg","View")</f>
        <v>View</v>
      </c>
    </row>
    <row r="960" spans="1:21" ht="20.399999999999999">
      <c r="A960" s="6">
        <v>43440.419594907406</v>
      </c>
      <c r="B960" s="7" t="str">
        <f>HYPERLINK("https://twitter.com/migartua","@migartua")</f>
        <v>@migartua</v>
      </c>
      <c r="C960" s="8" t="s">
        <v>3566</v>
      </c>
      <c r="D960" s="9" t="s">
        <v>3567</v>
      </c>
      <c r="E960" s="10" t="str">
        <f>HYPERLINK("https://twitter.com/migartua/status/1070604814109868032","1070604814109868032")</f>
        <v>1070604814109868032</v>
      </c>
      <c r="F960" s="16" t="s">
        <v>3568</v>
      </c>
      <c r="G960" s="11"/>
      <c r="H960" s="11"/>
      <c r="I960" s="12">
        <v>0</v>
      </c>
      <c r="J960" s="12">
        <v>0</v>
      </c>
      <c r="K960" s="13" t="str">
        <f>HYPERLINK("http://twitter.com","Twitter Web Client")</f>
        <v>Twitter Web Client</v>
      </c>
      <c r="L960" s="12">
        <v>998</v>
      </c>
      <c r="M960" s="12">
        <v>148</v>
      </c>
      <c r="N960" s="12">
        <v>60</v>
      </c>
      <c r="O960" s="14"/>
      <c r="P960" s="6">
        <v>40113.467627314814</v>
      </c>
      <c r="Q960" s="11"/>
      <c r="R960" s="17" t="s">
        <v>3569</v>
      </c>
      <c r="S960" s="11"/>
      <c r="T960" s="11"/>
      <c r="U960" s="10" t="str">
        <f>HYPERLINK("https://pbs.twimg.com/profile_images/2734217543/978b02e5f133c58d3921446bca6596bb.jpeg","View")</f>
        <v>View</v>
      </c>
    </row>
    <row r="961" spans="1:21" ht="51">
      <c r="A961" s="6">
        <v>43440.41920138889</v>
      </c>
      <c r="B961" s="7" t="str">
        <f>HYPERLINK("https://twitter.com/ConchaTravesedo","@ConchaTravesedo")</f>
        <v>@ConchaTravesedo</v>
      </c>
      <c r="C961" s="8" t="s">
        <v>3570</v>
      </c>
      <c r="D961" s="9" t="s">
        <v>3571</v>
      </c>
      <c r="E961" s="10" t="str">
        <f>HYPERLINK("https://twitter.com/ConchaTravesedo/status/1070604670727581696","1070604670727581696")</f>
        <v>1070604670727581696</v>
      </c>
      <c r="F961" s="16" t="s">
        <v>3572</v>
      </c>
      <c r="G961" s="16" t="s">
        <v>3573</v>
      </c>
      <c r="H961" s="11"/>
      <c r="I961" s="12">
        <v>1</v>
      </c>
      <c r="J961" s="12">
        <v>2</v>
      </c>
      <c r="K961" s="13" t="str">
        <f>HYPERLINK("http://twitter.com/download/iphone","Twitter for iPhone")</f>
        <v>Twitter for iPhone</v>
      </c>
      <c r="L961" s="12">
        <v>1514</v>
      </c>
      <c r="M961" s="12">
        <v>907</v>
      </c>
      <c r="N961" s="12">
        <v>56</v>
      </c>
      <c r="O961" s="14"/>
      <c r="P961" s="6">
        <v>40754.730821759258</v>
      </c>
      <c r="Q961" s="15" t="s">
        <v>3574</v>
      </c>
      <c r="R961" s="17" t="s">
        <v>3575</v>
      </c>
      <c r="S961" s="11"/>
      <c r="T961" s="11"/>
      <c r="U961" s="10" t="str">
        <f>HYPERLINK("https://pbs.twimg.com/profile_images/922817946447241216/X9ldWhRH.jpg","View")</f>
        <v>View</v>
      </c>
    </row>
    <row r="962" spans="1:21" ht="40.799999999999997">
      <c r="A962" s="6">
        <v>43440.418796296297</v>
      </c>
      <c r="B962" s="7" t="str">
        <f>HYPERLINK("https://twitter.com/A_Hergo","@A_Hergo")</f>
        <v>@A_Hergo</v>
      </c>
      <c r="C962" s="8" t="s">
        <v>3576</v>
      </c>
      <c r="D962" s="9" t="s">
        <v>3577</v>
      </c>
      <c r="E962" s="10" t="str">
        <f>HYPERLINK("https://twitter.com/A_Hergo/status/1070604524639973376","1070604524639973376")</f>
        <v>1070604524639973376</v>
      </c>
      <c r="F962" s="11"/>
      <c r="G962" s="16" t="s">
        <v>3578</v>
      </c>
      <c r="H962" s="11"/>
      <c r="I962" s="12">
        <v>1</v>
      </c>
      <c r="J962" s="12">
        <v>1</v>
      </c>
      <c r="K962" s="13" t="str">
        <f>HYPERLINK("http://twitter.com/download/android","Twitter for Android")</f>
        <v>Twitter for Android</v>
      </c>
      <c r="L962" s="12">
        <v>333</v>
      </c>
      <c r="M962" s="12">
        <v>952</v>
      </c>
      <c r="N962" s="12">
        <v>5</v>
      </c>
      <c r="O962" s="14"/>
      <c r="P962" s="6">
        <v>41919.059189814812</v>
      </c>
      <c r="Q962" s="15" t="s">
        <v>3579</v>
      </c>
      <c r="R962" s="17" t="s">
        <v>3580</v>
      </c>
      <c r="S962" s="16" t="s">
        <v>3581</v>
      </c>
      <c r="T962" s="11"/>
      <c r="U962" s="10" t="str">
        <f>HYPERLINK("https://pbs.twimg.com/profile_images/1008264435943858177/DDW8HYMv.jpg","View")</f>
        <v>View</v>
      </c>
    </row>
    <row r="963" spans="1:21" ht="51">
      <c r="A963" s="6">
        <v>43440.418113425927</v>
      </c>
      <c r="B963" s="7" t="str">
        <f>HYPERLINK("https://twitter.com/Juanvidmq","@Juanvidmq")</f>
        <v>@Juanvidmq</v>
      </c>
      <c r="C963" s="8" t="s">
        <v>3582</v>
      </c>
      <c r="D963" s="9" t="s">
        <v>3583</v>
      </c>
      <c r="E963" s="10" t="str">
        <f>HYPERLINK("https://twitter.com/Juanvidmq/status/1070604279688429568","1070604279688429568")</f>
        <v>1070604279688429568</v>
      </c>
      <c r="F963" s="11"/>
      <c r="G963" s="11"/>
      <c r="H963" s="11"/>
      <c r="I963" s="12">
        <v>0</v>
      </c>
      <c r="J963" s="12">
        <v>1</v>
      </c>
      <c r="K963" s="13" t="str">
        <f>HYPERLINK("http://twitter.com/download/iphone","Twitter for iPhone")</f>
        <v>Twitter for iPhone</v>
      </c>
      <c r="L963" s="12">
        <v>87</v>
      </c>
      <c r="M963" s="12">
        <v>237</v>
      </c>
      <c r="N963" s="12">
        <v>0</v>
      </c>
      <c r="O963" s="14"/>
      <c r="P963" s="6">
        <v>42726.940694444449</v>
      </c>
      <c r="Q963" s="11"/>
      <c r="R963" s="17" t="s">
        <v>3584</v>
      </c>
      <c r="S963" s="11"/>
      <c r="T963" s="11"/>
      <c r="U963" s="10" t="str">
        <f>HYPERLINK("https://pbs.twimg.com/profile_images/1041631785715728384/_kb4Hsix.jpg","View")</f>
        <v>View</v>
      </c>
    </row>
    <row r="964" spans="1:21" ht="51">
      <c r="A964" s="6">
        <v>43440.41805555555</v>
      </c>
      <c r="B964" s="7" t="str">
        <f>HYPERLINK("https://twitter.com/bitMomentum","@bitMomentum")</f>
        <v>@bitMomentum</v>
      </c>
      <c r="C964" s="8" t="s">
        <v>82</v>
      </c>
      <c r="D964" s="9" t="s">
        <v>3585</v>
      </c>
      <c r="E964" s="10" t="str">
        <f>HYPERLINK("https://twitter.com/bitMomentum/status/1070604256049291266","1070604256049291266")</f>
        <v>1070604256049291266</v>
      </c>
      <c r="F964" s="11"/>
      <c r="G964" s="11"/>
      <c r="H964" s="11"/>
      <c r="I964" s="12">
        <v>0</v>
      </c>
      <c r="J964" s="12">
        <v>0</v>
      </c>
      <c r="K964" s="13" t="str">
        <f>HYPERLINK("http://www.bitmomentum.com","bitMomentum Bot")</f>
        <v>bitMomentum Bot</v>
      </c>
      <c r="L964" s="12">
        <v>10253</v>
      </c>
      <c r="M964" s="12">
        <v>1059</v>
      </c>
      <c r="N964" s="12">
        <v>263</v>
      </c>
      <c r="O964" s="14"/>
      <c r="P964" s="6">
        <v>41608.667511574073</v>
      </c>
      <c r="Q964" s="11"/>
      <c r="R964" s="17" t="s">
        <v>84</v>
      </c>
      <c r="S964" s="16" t="s">
        <v>85</v>
      </c>
      <c r="T964" s="11"/>
      <c r="U964" s="10" t="str">
        <f>HYPERLINK("https://pbs.twimg.com/profile_images/378800000862185241/20ij2H3u.png","View")</f>
        <v>View</v>
      </c>
    </row>
    <row r="965" spans="1:21" ht="30.6">
      <c r="A965" s="6">
        <v>43440.418032407411</v>
      </c>
      <c r="B965" s="7" t="str">
        <f>HYPERLINK("https://twitter.com/SantiMartinez84","@SantiMartinez84")</f>
        <v>@SantiMartinez84</v>
      </c>
      <c r="C965" s="8" t="s">
        <v>3586</v>
      </c>
      <c r="D965" s="9" t="s">
        <v>3587</v>
      </c>
      <c r="E965" s="10" t="str">
        <f>HYPERLINK("https://twitter.com/SantiMartinez84/status/1070604251028688897","1070604251028688897")</f>
        <v>1070604251028688897</v>
      </c>
      <c r="F965" s="11"/>
      <c r="G965" s="16" t="s">
        <v>3588</v>
      </c>
      <c r="H965" s="11"/>
      <c r="I965" s="12">
        <v>6</v>
      </c>
      <c r="J965" s="12">
        <v>3</v>
      </c>
      <c r="K965" s="13" t="str">
        <f>HYPERLINK("http://twitter.com/download/iphone","Twitter for iPhone")</f>
        <v>Twitter for iPhone</v>
      </c>
      <c r="L965" s="12">
        <v>971</v>
      </c>
      <c r="M965" s="12">
        <v>1256</v>
      </c>
      <c r="N965" s="12">
        <v>6</v>
      </c>
      <c r="O965" s="14"/>
      <c r="P965" s="6">
        <v>40783.953067129631</v>
      </c>
      <c r="Q965" s="11"/>
      <c r="R965" s="17" t="s">
        <v>3589</v>
      </c>
      <c r="S965" s="11"/>
      <c r="T965" s="11"/>
      <c r="U965" s="10" t="str">
        <f>HYPERLINK("https://pbs.twimg.com/profile_images/1069648984308879367/AntHzn42.jpg","View")</f>
        <v>View</v>
      </c>
    </row>
    <row r="966" spans="1:21" ht="61.2">
      <c r="A966" s="6">
        <v>43440.417129629626</v>
      </c>
      <c r="B966" s="7" t="str">
        <f>HYPERLINK("https://twitter.com/Dm298565026","@Dm298565026")</f>
        <v>@Dm298565026</v>
      </c>
      <c r="C966" s="8" t="s">
        <v>3590</v>
      </c>
      <c r="D966" s="9" t="s">
        <v>3591</v>
      </c>
      <c r="E966" s="10" t="str">
        <f>HYPERLINK("https://twitter.com/Dm298565026/status/1070603920848945155","1070603920848945155")</f>
        <v>1070603920848945155</v>
      </c>
      <c r="F966" s="11"/>
      <c r="G966" s="11"/>
      <c r="H966" s="11"/>
      <c r="I966" s="12">
        <v>0</v>
      </c>
      <c r="J966" s="12">
        <v>0</v>
      </c>
      <c r="K966" s="13" t="str">
        <f>HYPERLINK("http://twitter.com/download/android","Twitter for Android")</f>
        <v>Twitter for Android</v>
      </c>
      <c r="L966" s="12">
        <v>8</v>
      </c>
      <c r="M966" s="12">
        <v>72</v>
      </c>
      <c r="N966" s="12">
        <v>0</v>
      </c>
      <c r="O966" s="14"/>
      <c r="P966" s="6">
        <v>43394.008356481485</v>
      </c>
      <c r="Q966" s="11"/>
      <c r="R966" s="18"/>
      <c r="S966" s="11"/>
      <c r="T966" s="11"/>
      <c r="U966" s="10" t="str">
        <f>HYPERLINK("https://pbs.twimg.com/profile_images/1053790730609721344/82TaTaHT.jpg","View")</f>
        <v>View</v>
      </c>
    </row>
    <row r="967" spans="1:21" ht="40.799999999999997">
      <c r="A967" s="6">
        <v>43440.416805555556</v>
      </c>
      <c r="B967" s="7" t="str">
        <f>HYPERLINK("https://twitter.com/SVazqueze","@SVazqueze")</f>
        <v>@SVazqueze</v>
      </c>
      <c r="C967" s="8" t="s">
        <v>3592</v>
      </c>
      <c r="D967" s="9" t="s">
        <v>3593</v>
      </c>
      <c r="E967" s="10" t="str">
        <f>HYPERLINK("https://twitter.com/SVazqueze/status/1070603803790057472","1070603803790057472")</f>
        <v>1070603803790057472</v>
      </c>
      <c r="F967" s="16" t="s">
        <v>3594</v>
      </c>
      <c r="G967" s="16" t="s">
        <v>3595</v>
      </c>
      <c r="H967" s="11"/>
      <c r="I967" s="12">
        <v>0</v>
      </c>
      <c r="J967" s="12">
        <v>0</v>
      </c>
      <c r="K967" s="13" t="str">
        <f>HYPERLINK("http://twitter.com/download/iphone","Twitter for iPhone")</f>
        <v>Twitter for iPhone</v>
      </c>
      <c r="L967" s="12">
        <v>1000</v>
      </c>
      <c r="M967" s="12">
        <v>884</v>
      </c>
      <c r="N967" s="12">
        <v>33</v>
      </c>
      <c r="O967" s="14"/>
      <c r="P967" s="6">
        <v>41286.569155092591</v>
      </c>
      <c r="Q967" s="11"/>
      <c r="R967" s="17" t="s">
        <v>3596</v>
      </c>
      <c r="S967" s="11"/>
      <c r="T967" s="11"/>
      <c r="U967" s="10" t="str">
        <f>HYPERLINK("https://pbs.twimg.com/profile_images/482916157176180736/_9AmdPL8.jpeg","View")</f>
        <v>View</v>
      </c>
    </row>
    <row r="968" spans="1:21" ht="40.799999999999997">
      <c r="A968" s="6">
        <v>43440.415243055555</v>
      </c>
      <c r="B968" s="7" t="str">
        <f>HYPERLINK("https://twitter.com/DavidLVizcaino","@DavidLVizcaino")</f>
        <v>@DavidLVizcaino</v>
      </c>
      <c r="C968" s="8" t="s">
        <v>3597</v>
      </c>
      <c r="D968" s="9" t="s">
        <v>3598</v>
      </c>
      <c r="E968" s="10" t="str">
        <f>HYPERLINK("https://twitter.com/DavidLVizcaino/status/1070603237533847553","1070603237533847553")</f>
        <v>1070603237533847553</v>
      </c>
      <c r="F968" s="11"/>
      <c r="G968" s="11"/>
      <c r="H968" s="11"/>
      <c r="I968" s="12">
        <v>6</v>
      </c>
      <c r="J968" s="12">
        <v>10</v>
      </c>
      <c r="K968" s="13" t="str">
        <f>HYPERLINK("http://twitter.com/download/android","Twitter for Android")</f>
        <v>Twitter for Android</v>
      </c>
      <c r="L968" s="12">
        <v>1478</v>
      </c>
      <c r="M968" s="12">
        <v>1066</v>
      </c>
      <c r="N968" s="12">
        <v>18</v>
      </c>
      <c r="O968" s="14"/>
      <c r="P968" s="6">
        <v>41942.674942129626</v>
      </c>
      <c r="Q968" s="11"/>
      <c r="R968" s="17" t="s">
        <v>3599</v>
      </c>
      <c r="S968" s="16" t="s">
        <v>3600</v>
      </c>
      <c r="T968" s="11"/>
      <c r="U968" s="10" t="str">
        <f>HYPERLINK("https://pbs.twimg.com/profile_images/527842323359465472/A8-dtjg2.jpeg","View")</f>
        <v>View</v>
      </c>
    </row>
    <row r="969" spans="1:21" ht="40.799999999999997">
      <c r="A969" s="6">
        <v>43440.414120370369</v>
      </c>
      <c r="B969" s="7" t="str">
        <f>HYPERLINK("https://twitter.com/Jfdezgo90","@Jfdezgo90")</f>
        <v>@Jfdezgo90</v>
      </c>
      <c r="C969" s="8" t="s">
        <v>2651</v>
      </c>
      <c r="D969" s="9" t="s">
        <v>3601</v>
      </c>
      <c r="E969" s="10" t="str">
        <f>HYPERLINK("https://twitter.com/Jfdezgo90/status/1070602832888381440","1070602832888381440")</f>
        <v>1070602832888381440</v>
      </c>
      <c r="F969" s="11"/>
      <c r="G969" s="11"/>
      <c r="H969" s="11"/>
      <c r="I969" s="12">
        <v>0</v>
      </c>
      <c r="J969" s="12">
        <v>0</v>
      </c>
      <c r="K969" s="13" t="str">
        <f>HYPERLINK("http://twitter.com/download/iphone","Twitter for iPhone")</f>
        <v>Twitter for iPhone</v>
      </c>
      <c r="L969" s="12">
        <v>1912</v>
      </c>
      <c r="M969" s="12">
        <v>4144</v>
      </c>
      <c r="N969" s="12">
        <v>13</v>
      </c>
      <c r="O969" s="14"/>
      <c r="P969" s="6">
        <v>41800.661921296298</v>
      </c>
      <c r="Q969" s="15" t="s">
        <v>2654</v>
      </c>
      <c r="R969" s="17" t="s">
        <v>2655</v>
      </c>
      <c r="S969" s="16" t="s">
        <v>2656</v>
      </c>
      <c r="T969" s="11"/>
      <c r="U969" s="10" t="str">
        <f>HYPERLINK("https://pbs.twimg.com/profile_images/1013847005817442306/8BV0q5Ut.jpg","View")</f>
        <v>View</v>
      </c>
    </row>
    <row r="970" spans="1:21" ht="51">
      <c r="A970" s="6">
        <v>43440.413611111115</v>
      </c>
      <c r="B970" s="7" t="str">
        <f>HYPERLINK("https://twitter.com/AManOfToday","@AManOfToday")</f>
        <v>@AManOfToday</v>
      </c>
      <c r="C970" s="8" t="s">
        <v>3602</v>
      </c>
      <c r="D970" s="9" t="s">
        <v>3603</v>
      </c>
      <c r="E970" s="10" t="str">
        <f>HYPERLINK("https://twitter.com/AManOfToday/status/1070602645914746880","1070602645914746880")</f>
        <v>1070602645914746880</v>
      </c>
      <c r="F970" s="11"/>
      <c r="G970" s="11"/>
      <c r="H970" s="11"/>
      <c r="I970" s="12">
        <v>0</v>
      </c>
      <c r="J970" s="12">
        <v>0</v>
      </c>
      <c r="K970" s="13" t="str">
        <f>HYPERLINK("http://twitter.com","Twitter Web Client")</f>
        <v>Twitter Web Client</v>
      </c>
      <c r="L970" s="12">
        <v>32</v>
      </c>
      <c r="M970" s="12">
        <v>83</v>
      </c>
      <c r="N970" s="12">
        <v>2</v>
      </c>
      <c r="O970" s="14"/>
      <c r="P970" s="6">
        <v>43189.639085648145</v>
      </c>
      <c r="Q970" s="11"/>
      <c r="R970" s="17" t="s">
        <v>3604</v>
      </c>
      <c r="S970" s="11"/>
      <c r="T970" s="11"/>
      <c r="U970" s="10" t="str">
        <f>HYPERLINK("https://pbs.twimg.com/profile_images/1011654146439700481/DOp1mVRF.jpg","View")</f>
        <v>View</v>
      </c>
    </row>
    <row r="971" spans="1:21" ht="51">
      <c r="A971" s="6">
        <v>43440.412129629629</v>
      </c>
      <c r="B971" s="7" t="str">
        <f>HYPERLINK("https://twitter.com/indisoluble91","@indisoluble91")</f>
        <v>@indisoluble91</v>
      </c>
      <c r="C971" s="8" t="s">
        <v>3605</v>
      </c>
      <c r="D971" s="9" t="s">
        <v>3606</v>
      </c>
      <c r="E971" s="10" t="str">
        <f>HYPERLINK("https://twitter.com/indisoluble91/status/1070602111740772353","1070602111740772353")</f>
        <v>1070602111740772353</v>
      </c>
      <c r="F971" s="16" t="s">
        <v>932</v>
      </c>
      <c r="G971" s="11"/>
      <c r="H971" s="11"/>
      <c r="I971" s="12">
        <v>0</v>
      </c>
      <c r="J971" s="12">
        <v>1</v>
      </c>
      <c r="K971" s="13" t="str">
        <f t="shared" ref="K971:K972" si="224">HYPERLINK("http://twitter.com/download/android","Twitter for Android")</f>
        <v>Twitter for Android</v>
      </c>
      <c r="L971" s="12">
        <v>58</v>
      </c>
      <c r="M971" s="12">
        <v>135</v>
      </c>
      <c r="N971" s="12">
        <v>0</v>
      </c>
      <c r="O971" s="14"/>
      <c r="P971" s="6">
        <v>43402.577662037038</v>
      </c>
      <c r="Q971" s="11"/>
      <c r="R971" s="18"/>
      <c r="S971" s="11"/>
      <c r="T971" s="11"/>
      <c r="U971" s="10" t="str">
        <f>HYPERLINK("https://pbs.twimg.com/profile_images/1057401423472836608/avPpUHp2.jpg","View")</f>
        <v>View</v>
      </c>
    </row>
    <row r="972" spans="1:21" ht="40.799999999999997">
      <c r="A972" s="6">
        <v>43440.410752314812</v>
      </c>
      <c r="B972" s="7" t="str">
        <f>HYPERLINK("https://twitter.com/Arreyak1","@Arreyak1")</f>
        <v>@Arreyak1</v>
      </c>
      <c r="C972" s="8" t="s">
        <v>3607</v>
      </c>
      <c r="D972" s="9" t="s">
        <v>3608</v>
      </c>
      <c r="E972" s="10" t="str">
        <f>HYPERLINK("https://twitter.com/Arreyak1/status/1070601611117031424","1070601611117031424")</f>
        <v>1070601611117031424</v>
      </c>
      <c r="F972" s="11"/>
      <c r="G972" s="11"/>
      <c r="H972" s="11"/>
      <c r="I972" s="12">
        <v>0</v>
      </c>
      <c r="J972" s="12">
        <v>0</v>
      </c>
      <c r="K972" s="13" t="str">
        <f t="shared" si="224"/>
        <v>Twitter for Android</v>
      </c>
      <c r="L972" s="12">
        <v>124</v>
      </c>
      <c r="M972" s="12">
        <v>187</v>
      </c>
      <c r="N972" s="12">
        <v>1</v>
      </c>
      <c r="O972" s="14"/>
      <c r="P972" s="6">
        <v>43268.655023148152</v>
      </c>
      <c r="Q972" s="15" t="s">
        <v>676</v>
      </c>
      <c r="R972" s="17" t="s">
        <v>3609</v>
      </c>
      <c r="S972" s="11"/>
      <c r="T972" s="11"/>
      <c r="U972" s="10" t="str">
        <f>HYPERLINK("https://pbs.twimg.com/profile_images/1016662400156819464/7RwSwvLi.jpg","View")</f>
        <v>View</v>
      </c>
    </row>
    <row r="973" spans="1:21" ht="71.400000000000006">
      <c r="A973" s="6">
        <v>43440.410416666666</v>
      </c>
      <c r="B973" s="7" t="str">
        <f>HYPERLINK("https://twitter.com/hidergina","@hidergina")</f>
        <v>@hidergina</v>
      </c>
      <c r="C973" s="8" t="s">
        <v>2998</v>
      </c>
      <c r="D973" s="9" t="s">
        <v>3610</v>
      </c>
      <c r="E973" s="10" t="str">
        <f>HYPERLINK("https://twitter.com/hidergina/status/1070601489448611841","1070601489448611841")</f>
        <v>1070601489448611841</v>
      </c>
      <c r="F973" s="15" t="s">
        <v>3611</v>
      </c>
      <c r="G973" s="11"/>
      <c r="H973" s="11"/>
      <c r="I973" s="12">
        <v>0</v>
      </c>
      <c r="J973" s="12">
        <v>1</v>
      </c>
      <c r="K973" s="13" t="str">
        <f>HYPERLINK("http://twitter.com","Twitter Web Client")</f>
        <v>Twitter Web Client</v>
      </c>
      <c r="L973" s="12">
        <v>411</v>
      </c>
      <c r="M973" s="12">
        <v>215</v>
      </c>
      <c r="N973" s="12">
        <v>6</v>
      </c>
      <c r="O973" s="14"/>
      <c r="P973" s="6">
        <v>40610.827361111107</v>
      </c>
      <c r="Q973" s="11"/>
      <c r="R973" s="17" t="s">
        <v>3000</v>
      </c>
      <c r="S973" s="11"/>
      <c r="T973" s="11"/>
      <c r="U973" s="10" t="str">
        <f>HYPERLINK("https://pbs.twimg.com/profile_images/1069497191990001664/0PjfQdkU.jpg","View")</f>
        <v>View</v>
      </c>
    </row>
    <row r="974" spans="1:21" ht="40.799999999999997">
      <c r="A974" s="6">
        <v>43440.408090277779</v>
      </c>
      <c r="B974" s="7" t="str">
        <f>HYPERLINK("https://twitter.com/PabloTauroni","@PabloTauroni")</f>
        <v>@PabloTauroni</v>
      </c>
      <c r="C974" s="8" t="s">
        <v>3612</v>
      </c>
      <c r="D974" s="9" t="s">
        <v>3613</v>
      </c>
      <c r="E974" s="10" t="str">
        <f>HYPERLINK("https://twitter.com/PabloTauroni/status/1070600646028611586","1070600646028611586")</f>
        <v>1070600646028611586</v>
      </c>
      <c r="F974" s="11"/>
      <c r="G974" s="16" t="s">
        <v>3614</v>
      </c>
      <c r="H974" s="11"/>
      <c r="I974" s="12">
        <v>0</v>
      </c>
      <c r="J974" s="12">
        <v>0</v>
      </c>
      <c r="K974" s="13" t="str">
        <f t="shared" ref="K974:K977" si="225">HYPERLINK("http://twitter.com/download/android","Twitter for Android")</f>
        <v>Twitter for Android</v>
      </c>
      <c r="L974" s="12">
        <v>10</v>
      </c>
      <c r="M974" s="12">
        <v>120</v>
      </c>
      <c r="N974" s="12">
        <v>0</v>
      </c>
      <c r="O974" s="14"/>
      <c r="P974" s="6">
        <v>43352.962337962963</v>
      </c>
      <c r="Q974" s="11"/>
      <c r="R974" s="17" t="s">
        <v>3615</v>
      </c>
      <c r="S974" s="11"/>
      <c r="T974" s="11"/>
      <c r="U974" s="10" t="str">
        <f>HYPERLINK("https://pbs.twimg.com/profile_images/1038899326486032385/glS0IUQr.jpg","View")</f>
        <v>View</v>
      </c>
    </row>
    <row r="975" spans="1:21" ht="51">
      <c r="A975" s="6">
        <v>43440.406597222223</v>
      </c>
      <c r="B975" s="7" t="str">
        <f>HYPERLINK("https://twitter.com/PedroInsua1","@PedroInsua1")</f>
        <v>@PedroInsua1</v>
      </c>
      <c r="C975" s="8" t="s">
        <v>3616</v>
      </c>
      <c r="D975" s="9" t="s">
        <v>3617</v>
      </c>
      <c r="E975" s="10" t="str">
        <f>HYPERLINK("https://twitter.com/PedroInsua1/status/1070600103612825600","1070600103612825600")</f>
        <v>1070600103612825600</v>
      </c>
      <c r="F975" s="16" t="s">
        <v>3618</v>
      </c>
      <c r="G975" s="11"/>
      <c r="H975" s="11"/>
      <c r="I975" s="12">
        <v>64</v>
      </c>
      <c r="J975" s="12">
        <v>124</v>
      </c>
      <c r="K975" s="13" t="str">
        <f t="shared" si="225"/>
        <v>Twitter for Android</v>
      </c>
      <c r="L975" s="12">
        <v>6852</v>
      </c>
      <c r="M975" s="12">
        <v>1065</v>
      </c>
      <c r="N975" s="12">
        <v>78</v>
      </c>
      <c r="O975" s="14"/>
      <c r="P975" s="6">
        <v>41055.08085648148</v>
      </c>
      <c r="Q975" s="15" t="s">
        <v>197</v>
      </c>
      <c r="R975" s="17" t="s">
        <v>3619</v>
      </c>
      <c r="S975" s="11"/>
      <c r="T975" s="11"/>
      <c r="U975" s="10" t="str">
        <f>HYPERLINK("https://pbs.twimg.com/profile_images/1071053887174516737/l06R_lN8.jpg","View")</f>
        <v>View</v>
      </c>
    </row>
    <row r="976" spans="1:21" ht="40.799999999999997">
      <c r="A976" s="6">
        <v>43440.406064814815</v>
      </c>
      <c r="B976" s="7" t="str">
        <f>HYPERLINK("https://twitter.com/PatriotaNet","@PatriotaNet")</f>
        <v>@PatriotaNet</v>
      </c>
      <c r="C976" s="8" t="s">
        <v>3620</v>
      </c>
      <c r="D976" s="9" t="s">
        <v>3621</v>
      </c>
      <c r="E976" s="10" t="str">
        <f>HYPERLINK("https://twitter.com/PatriotaNet/status/1070599913803841536","1070599913803841536")</f>
        <v>1070599913803841536</v>
      </c>
      <c r="F976" s="11"/>
      <c r="G976" s="11"/>
      <c r="H976" s="11"/>
      <c r="I976" s="12">
        <v>1</v>
      </c>
      <c r="J976" s="12">
        <v>1</v>
      </c>
      <c r="K976" s="13" t="str">
        <f t="shared" si="225"/>
        <v>Twitter for Android</v>
      </c>
      <c r="L976" s="12">
        <v>31</v>
      </c>
      <c r="M976" s="12">
        <v>47</v>
      </c>
      <c r="N976" s="12">
        <v>0</v>
      </c>
      <c r="O976" s="14"/>
      <c r="P976" s="6">
        <v>43424.929814814815</v>
      </c>
      <c r="Q976" s="15" t="s">
        <v>3622</v>
      </c>
      <c r="R976" s="17" t="s">
        <v>3623</v>
      </c>
      <c r="S976" s="11"/>
      <c r="T976" s="11"/>
      <c r="U976" s="10" t="str">
        <f>HYPERLINK("https://pbs.twimg.com/profile_images/1065980948733411329/mM9VHVAZ.jpg","View")</f>
        <v>View</v>
      </c>
    </row>
    <row r="977" spans="1:21" ht="61.2">
      <c r="A977" s="6">
        <v>43440.40325231482</v>
      </c>
      <c r="B977" s="7" t="str">
        <f>HYPERLINK("https://twitter.com/Duelelab","@Duelelab")</f>
        <v>@Duelelab</v>
      </c>
      <c r="C977" s="8" t="s">
        <v>1037</v>
      </c>
      <c r="D977" s="9" t="s">
        <v>3624</v>
      </c>
      <c r="E977" s="10" t="str">
        <f>HYPERLINK("https://twitter.com/Duelelab/status/1070598893249925121","1070598893249925121")</f>
        <v>1070598893249925121</v>
      </c>
      <c r="F977" s="11"/>
      <c r="G977" s="16" t="s">
        <v>3625</v>
      </c>
      <c r="H977" s="11"/>
      <c r="I977" s="12">
        <v>61</v>
      </c>
      <c r="J977" s="12">
        <v>65</v>
      </c>
      <c r="K977" s="13" t="str">
        <f t="shared" si="225"/>
        <v>Twitter for Android</v>
      </c>
      <c r="L977" s="12">
        <v>10201</v>
      </c>
      <c r="M977" s="12">
        <v>3426</v>
      </c>
      <c r="N977" s="12">
        <v>102</v>
      </c>
      <c r="O977" s="14"/>
      <c r="P977" s="6">
        <v>41830.764004629629</v>
      </c>
      <c r="Q977" s="11"/>
      <c r="R977" s="17" t="s">
        <v>1040</v>
      </c>
      <c r="S977" s="11"/>
      <c r="T977" s="11"/>
      <c r="U977" s="10" t="str">
        <f>HYPERLINK("https://pbs.twimg.com/profile_images/914050990097223680/V25T08jL.jpg","View")</f>
        <v>View</v>
      </c>
    </row>
    <row r="978" spans="1:21" ht="40.799999999999997">
      <c r="A978" s="6">
        <v>43440.401412037041</v>
      </c>
      <c r="B978" s="7" t="str">
        <f>HYPERLINK("https://twitter.com/Josema_vox_","@Josema_vox_")</f>
        <v>@Josema_vox_</v>
      </c>
      <c r="C978" s="8" t="s">
        <v>3626</v>
      </c>
      <c r="D978" s="9" t="s">
        <v>3627</v>
      </c>
      <c r="E978" s="10" t="str">
        <f>HYPERLINK("https://twitter.com/Josema_vox_/status/1070598227974676480","1070598227974676480")</f>
        <v>1070598227974676480</v>
      </c>
      <c r="F978" s="16" t="s">
        <v>3338</v>
      </c>
      <c r="G978" s="11"/>
      <c r="H978" s="11"/>
      <c r="I978" s="12">
        <v>1</v>
      </c>
      <c r="J978" s="12">
        <v>0</v>
      </c>
      <c r="K978" s="13" t="str">
        <f>HYPERLINK("http://twitter.com","Twitter Web Client")</f>
        <v>Twitter Web Client</v>
      </c>
      <c r="L978" s="12">
        <v>751</v>
      </c>
      <c r="M978" s="12">
        <v>1061</v>
      </c>
      <c r="N978" s="12">
        <v>2</v>
      </c>
      <c r="O978" s="14"/>
      <c r="P978" s="6">
        <v>43381.612210648149</v>
      </c>
      <c r="Q978" s="15" t="s">
        <v>3628</v>
      </c>
      <c r="R978" s="17" t="s">
        <v>3629</v>
      </c>
      <c r="S978" s="11"/>
      <c r="T978" s="11"/>
      <c r="U978" s="10" t="str">
        <f>HYPERLINK("https://pbs.twimg.com/profile_images/1069628964707213318/T0X7wgoR.jpg","View")</f>
        <v>View</v>
      </c>
    </row>
    <row r="979" spans="1:21" ht="40.799999999999997">
      <c r="A979" s="6">
        <v>43440.401192129633</v>
      </c>
      <c r="B979" s="7" t="str">
        <f>HYPERLINK("https://twitter.com/TKyd_Official","@TKyd_Official")</f>
        <v>@TKyd_Official</v>
      </c>
      <c r="C979" s="8" t="s">
        <v>3630</v>
      </c>
      <c r="D979" s="9" t="s">
        <v>3631</v>
      </c>
      <c r="E979" s="10" t="str">
        <f>HYPERLINK("https://twitter.com/TKyd_Official/status/1070598146709966848","1070598146709966848")</f>
        <v>1070598146709966848</v>
      </c>
      <c r="F979" s="11"/>
      <c r="G979" s="11"/>
      <c r="H979" s="11"/>
      <c r="I979" s="12">
        <v>1</v>
      </c>
      <c r="J979" s="12">
        <v>2</v>
      </c>
      <c r="K979" s="13" t="str">
        <f>HYPERLINK("http://twitter.com/download/iphone","Twitter for iPhone")</f>
        <v>Twitter for iPhone</v>
      </c>
      <c r="L979" s="12">
        <v>126</v>
      </c>
      <c r="M979" s="12">
        <v>233</v>
      </c>
      <c r="N979" s="12">
        <v>2</v>
      </c>
      <c r="O979" s="14"/>
      <c r="P979" s="6">
        <v>40418.504421296297</v>
      </c>
      <c r="Q979" s="11"/>
      <c r="R979" s="17" t="s">
        <v>3632</v>
      </c>
      <c r="S979" s="11"/>
      <c r="T979" s="11"/>
      <c r="U979" s="10" t="str">
        <f>HYPERLINK("https://pbs.twimg.com/profile_images/526064399392718848/EcsrJN2x.jpeg","View")</f>
        <v>View</v>
      </c>
    </row>
    <row r="980" spans="1:21" ht="20.399999999999999">
      <c r="A980" s="6">
        <v>43440.40042824074</v>
      </c>
      <c r="B980" s="7" t="str">
        <f>HYPERLINK("https://twitter.com/joseRMCE","@joseRMCE")</f>
        <v>@joseRMCE</v>
      </c>
      <c r="C980" s="8" t="s">
        <v>238</v>
      </c>
      <c r="D980" s="9" t="s">
        <v>3633</v>
      </c>
      <c r="E980" s="10" t="str">
        <f>HYPERLINK("https://twitter.com/joseRMCE/status/1070597869353218048","1070597869353218048")</f>
        <v>1070597869353218048</v>
      </c>
      <c r="F980" s="11"/>
      <c r="G980" s="16" t="s">
        <v>3634</v>
      </c>
      <c r="H980" s="11"/>
      <c r="I980" s="12">
        <v>0</v>
      </c>
      <c r="J980" s="12">
        <v>0</v>
      </c>
      <c r="K980" s="13" t="str">
        <f>HYPERLINK("http://twitter.com/download/android","Twitter for Android")</f>
        <v>Twitter for Android</v>
      </c>
      <c r="L980" s="12">
        <v>247</v>
      </c>
      <c r="M980" s="12">
        <v>365</v>
      </c>
      <c r="N980" s="12">
        <v>3</v>
      </c>
      <c r="O980" s="14"/>
      <c r="P980" s="6">
        <v>42900.386817129634</v>
      </c>
      <c r="Q980" s="15" t="s">
        <v>240</v>
      </c>
      <c r="R980" s="17" t="s">
        <v>241</v>
      </c>
      <c r="S980" s="11"/>
      <c r="T980" s="11"/>
      <c r="U980" s="10" t="str">
        <f>HYPERLINK("https://pbs.twimg.com/profile_images/1067543052774969344/bDgjM43p.jpg","View")</f>
        <v>View</v>
      </c>
    </row>
    <row r="981" spans="1:21" ht="30.6">
      <c r="A981" s="6">
        <v>43440.400312500002</v>
      </c>
      <c r="B981" s="7" t="str">
        <f>HYPERLINK("https://twitter.com/jlruizmlg","@jlruizmlg")</f>
        <v>@jlruizmlg</v>
      </c>
      <c r="C981" s="8" t="s">
        <v>3635</v>
      </c>
      <c r="D981" s="9" t="s">
        <v>3636</v>
      </c>
      <c r="E981" s="10" t="str">
        <f>HYPERLINK("https://twitter.com/jlruizmlg/status/1070597827317940225","1070597827317940225")</f>
        <v>1070597827317940225</v>
      </c>
      <c r="F981" s="11"/>
      <c r="G981" s="16" t="s">
        <v>3637</v>
      </c>
      <c r="H981" s="11"/>
      <c r="I981" s="12">
        <v>0</v>
      </c>
      <c r="J981" s="12">
        <v>2</v>
      </c>
      <c r="K981" s="13" t="str">
        <f t="shared" ref="K981:K982" si="226">HYPERLINK("http://twitter.com/download/iphone","Twitter for iPhone")</f>
        <v>Twitter for iPhone</v>
      </c>
      <c r="L981" s="12">
        <v>233</v>
      </c>
      <c r="M981" s="12">
        <v>272</v>
      </c>
      <c r="N981" s="12">
        <v>16</v>
      </c>
      <c r="O981" s="14"/>
      <c r="P981" s="6">
        <v>40771.650868055556</v>
      </c>
      <c r="Q981" s="15" t="s">
        <v>3638</v>
      </c>
      <c r="R981" s="17" t="s">
        <v>3639</v>
      </c>
      <c r="S981" s="16" t="s">
        <v>3640</v>
      </c>
      <c r="T981" s="11"/>
      <c r="U981" s="10" t="str">
        <f>HYPERLINK("https://pbs.twimg.com/profile_images/753212801884315653/aliVsZPh.jpg","View")</f>
        <v>View</v>
      </c>
    </row>
    <row r="982" spans="1:21" ht="81.599999999999994">
      <c r="A982" s="6">
        <v>43440.393842592588</v>
      </c>
      <c r="B982" s="7" t="str">
        <f>HYPERLINK("https://twitter.com/emsanzpastor","@emsanzpastor")</f>
        <v>@emsanzpastor</v>
      </c>
      <c r="C982" s="8" t="s">
        <v>3641</v>
      </c>
      <c r="D982" s="9" t="s">
        <v>3642</v>
      </c>
      <c r="E982" s="10" t="str">
        <f>HYPERLINK("https://twitter.com/emsanzpastor/status/1070595485059203073","1070595485059203073")</f>
        <v>1070595485059203073</v>
      </c>
      <c r="F982" s="16" t="s">
        <v>763</v>
      </c>
      <c r="G982" s="16" t="s">
        <v>764</v>
      </c>
      <c r="H982" s="11"/>
      <c r="I982" s="12">
        <v>1</v>
      </c>
      <c r="J982" s="12">
        <v>1</v>
      </c>
      <c r="K982" s="13" t="str">
        <f t="shared" si="226"/>
        <v>Twitter for iPhone</v>
      </c>
      <c r="L982" s="12">
        <v>76</v>
      </c>
      <c r="M982" s="12">
        <v>262</v>
      </c>
      <c r="N982" s="12">
        <v>1</v>
      </c>
      <c r="O982" s="14"/>
      <c r="P982" s="6">
        <v>42242.68959490741</v>
      </c>
      <c r="Q982" s="15" t="s">
        <v>185</v>
      </c>
      <c r="R982" s="17" t="s">
        <v>3643</v>
      </c>
      <c r="S982" s="11"/>
      <c r="T982" s="11"/>
      <c r="U982" s="10" t="str">
        <f>HYPERLINK("https://pbs.twimg.com/profile_images/1014081057690476544/qCxboSZv.jpg","View")</f>
        <v>View</v>
      </c>
    </row>
    <row r="983" spans="1:21" ht="71.400000000000006">
      <c r="A983" s="6">
        <v>43440.391400462962</v>
      </c>
      <c r="B983" s="7" t="str">
        <f>HYPERLINK("https://twitter.com/Antonio29407099","@Antonio29407099")</f>
        <v>@Antonio29407099</v>
      </c>
      <c r="C983" s="8" t="s">
        <v>309</v>
      </c>
      <c r="D983" s="9" t="s">
        <v>3644</v>
      </c>
      <c r="E983" s="10" t="str">
        <f>HYPERLINK("https://twitter.com/Antonio29407099/status/1070594596491747328","1070594596491747328")</f>
        <v>1070594596491747328</v>
      </c>
      <c r="F983" s="15" t="s">
        <v>3645</v>
      </c>
      <c r="G983" s="11"/>
      <c r="H983" s="11"/>
      <c r="I983" s="12">
        <v>0</v>
      </c>
      <c r="J983" s="12">
        <v>1</v>
      </c>
      <c r="K983" s="13" t="str">
        <f>HYPERLINK("http://twitter.com","Twitter Web Client")</f>
        <v>Twitter Web Client</v>
      </c>
      <c r="L983" s="12">
        <v>421</v>
      </c>
      <c r="M983" s="12">
        <v>423</v>
      </c>
      <c r="N983" s="12">
        <v>8</v>
      </c>
      <c r="O983" s="14"/>
      <c r="P983" s="6">
        <v>40986.32503472222</v>
      </c>
      <c r="Q983" s="15" t="s">
        <v>312</v>
      </c>
      <c r="R983" s="17" t="s">
        <v>313</v>
      </c>
      <c r="S983" s="11"/>
      <c r="T983" s="11"/>
      <c r="U983" s="10" t="str">
        <f>HYPERLINK("https://pbs.twimg.com/profile_images/1071355442616561664/eeWCMpph.jpg","View")</f>
        <v>View</v>
      </c>
    </row>
    <row r="984" spans="1:21" ht="51">
      <c r="A984" s="6">
        <v>43440.387916666667</v>
      </c>
      <c r="B984" s="7" t="str">
        <f>HYPERLINK("https://twitter.com/manuel_ag","@manuel_ag")</f>
        <v>@manuel_ag</v>
      </c>
      <c r="C984" s="8" t="s">
        <v>3646</v>
      </c>
      <c r="D984" s="9" t="s">
        <v>3647</v>
      </c>
      <c r="E984" s="10" t="str">
        <f>HYPERLINK("https://twitter.com/manuel_ag/status/1070593334878658562","1070593334878658562")</f>
        <v>1070593334878658562</v>
      </c>
      <c r="F984" s="16" t="s">
        <v>3648</v>
      </c>
      <c r="G984" s="11"/>
      <c r="H984" s="11"/>
      <c r="I984" s="12">
        <v>4</v>
      </c>
      <c r="J984" s="12">
        <v>11</v>
      </c>
      <c r="K984" s="13" t="str">
        <f t="shared" ref="K984:K985" si="227">HYPERLINK("http://twitter.com/download/android","Twitter for Android")</f>
        <v>Twitter for Android</v>
      </c>
      <c r="L984" s="12">
        <v>295</v>
      </c>
      <c r="M984" s="12">
        <v>758</v>
      </c>
      <c r="N984" s="12">
        <v>15</v>
      </c>
      <c r="O984" s="14"/>
      <c r="P984" s="6">
        <v>40633.585162037038</v>
      </c>
      <c r="Q984" s="11"/>
      <c r="R984" s="17" t="s">
        <v>3649</v>
      </c>
      <c r="S984" s="11"/>
      <c r="T984" s="11"/>
      <c r="U984" s="10" t="str">
        <f>HYPERLINK("https://pbs.twimg.com/profile_images/1000334131887304704/XH0GlAtY.jpg","View")</f>
        <v>View</v>
      </c>
    </row>
    <row r="985" spans="1:21" ht="40.799999999999997">
      <c r="A985" s="6">
        <v>43440.38789351852</v>
      </c>
      <c r="B985" s="7" t="str">
        <f>HYPERLINK("https://twitter.com/PabloTauroni","@PabloTauroni")</f>
        <v>@PabloTauroni</v>
      </c>
      <c r="C985" s="8" t="s">
        <v>3612</v>
      </c>
      <c r="D985" s="9" t="s">
        <v>3650</v>
      </c>
      <c r="E985" s="10" t="str">
        <f>HYPERLINK("https://twitter.com/PabloTauroni/status/1070593326963978240","1070593326963978240")</f>
        <v>1070593326963978240</v>
      </c>
      <c r="F985" s="11"/>
      <c r="G985" s="16" t="s">
        <v>3651</v>
      </c>
      <c r="H985" s="11"/>
      <c r="I985" s="12">
        <v>1</v>
      </c>
      <c r="J985" s="12">
        <v>1</v>
      </c>
      <c r="K985" s="13" t="str">
        <f t="shared" si="227"/>
        <v>Twitter for Android</v>
      </c>
      <c r="L985" s="12">
        <v>10</v>
      </c>
      <c r="M985" s="12">
        <v>120</v>
      </c>
      <c r="N985" s="12">
        <v>0</v>
      </c>
      <c r="O985" s="14"/>
      <c r="P985" s="6">
        <v>43352.962337962963</v>
      </c>
      <c r="Q985" s="11"/>
      <c r="R985" s="17" t="s">
        <v>3615</v>
      </c>
      <c r="S985" s="11"/>
      <c r="T985" s="11"/>
      <c r="U985" s="10" t="str">
        <f>HYPERLINK("https://pbs.twimg.com/profile_images/1038899326486032385/glS0IUQr.jpg","View")</f>
        <v>View</v>
      </c>
    </row>
    <row r="986" spans="1:21" ht="40.799999999999997">
      <c r="A986" s="6">
        <v>43440.384398148148</v>
      </c>
      <c r="B986" s="7" t="str">
        <f>HYPERLINK("https://twitter.com/josechusr","@josechusr")</f>
        <v>@josechusr</v>
      </c>
      <c r="C986" s="8" t="s">
        <v>3652</v>
      </c>
      <c r="D986" s="9" t="s">
        <v>3653</v>
      </c>
      <c r="E986" s="10" t="str">
        <f>HYPERLINK("https://twitter.com/josechusr/status/1070592061957697537","1070592061957697537")</f>
        <v>1070592061957697537</v>
      </c>
      <c r="F986" s="16" t="s">
        <v>3654</v>
      </c>
      <c r="G986" s="11"/>
      <c r="H986" s="11"/>
      <c r="I986" s="12">
        <v>0</v>
      </c>
      <c r="J986" s="12">
        <v>1</v>
      </c>
      <c r="K986" s="13" t="str">
        <f>HYPERLINK("http://twitter.com/#!/download/ipad","Twitter for iPad")</f>
        <v>Twitter for iPad</v>
      </c>
      <c r="L986" s="12">
        <v>180</v>
      </c>
      <c r="M986" s="12">
        <v>645</v>
      </c>
      <c r="N986" s="12">
        <v>5</v>
      </c>
      <c r="O986" s="14"/>
      <c r="P986" s="6">
        <v>41014.812592592592</v>
      </c>
      <c r="Q986" s="15" t="s">
        <v>1048</v>
      </c>
      <c r="R986" s="17" t="s">
        <v>3655</v>
      </c>
      <c r="S986" s="11"/>
      <c r="T986" s="11"/>
      <c r="U986" s="10" t="str">
        <f>HYPERLINK("https://pbs.twimg.com/profile_images/556430335555428352/rynB8ZaM.jpeg","View")</f>
        <v>View</v>
      </c>
    </row>
    <row r="987" spans="1:21" ht="30.6">
      <c r="A987" s="6">
        <v>43440.383564814816</v>
      </c>
      <c r="B987" s="7" t="str">
        <f>HYPERLINK("https://twitter.com/Charran_Esp","@Charran_Esp")</f>
        <v>@Charran_Esp</v>
      </c>
      <c r="C987" s="8" t="s">
        <v>3656</v>
      </c>
      <c r="D987" s="9" t="s">
        <v>3657</v>
      </c>
      <c r="E987" s="10" t="str">
        <f>HYPERLINK("https://twitter.com/Charran_Esp/status/1070591757287600128","1070591757287600128")</f>
        <v>1070591757287600128</v>
      </c>
      <c r="F987" s="16" t="s">
        <v>3658</v>
      </c>
      <c r="G987" s="11"/>
      <c r="H987" s="11"/>
      <c r="I987" s="12">
        <v>0</v>
      </c>
      <c r="J987" s="12">
        <v>0</v>
      </c>
      <c r="K987" s="13" t="str">
        <f>HYPERLINK("https://ifttt.com","IFTTT")</f>
        <v>IFTTT</v>
      </c>
      <c r="L987" s="12">
        <v>62</v>
      </c>
      <c r="M987" s="12">
        <v>71</v>
      </c>
      <c r="N987" s="12">
        <v>0</v>
      </c>
      <c r="O987" s="14"/>
      <c r="P987" s="6">
        <v>42915.451712962968</v>
      </c>
      <c r="Q987" s="15" t="s">
        <v>197</v>
      </c>
      <c r="R987" s="17" t="s">
        <v>3659</v>
      </c>
      <c r="S987" s="11"/>
      <c r="T987" s="11"/>
      <c r="U987" s="10" t="str">
        <f>HYPERLINK("https://pbs.twimg.com/profile_images/880349188244078592/vsdcBU4x.jpg","View")</f>
        <v>View</v>
      </c>
    </row>
    <row r="988" spans="1:21" ht="102">
      <c r="A988" s="6">
        <v>43440.383344907408</v>
      </c>
      <c r="B988" s="7" t="str">
        <f>HYPERLINK("https://twitter.com/Antonio29407099","@Antonio29407099")</f>
        <v>@Antonio29407099</v>
      </c>
      <c r="C988" s="8" t="s">
        <v>309</v>
      </c>
      <c r="D988" s="9" t="s">
        <v>3660</v>
      </c>
      <c r="E988" s="10" t="str">
        <f>HYPERLINK("https://twitter.com/Antonio29407099/status/1070591678937993216","1070591678937993216")</f>
        <v>1070591678937993216</v>
      </c>
      <c r="F988" s="16" t="s">
        <v>2854</v>
      </c>
      <c r="G988" s="16" t="s">
        <v>2855</v>
      </c>
      <c r="H988" s="11"/>
      <c r="I988" s="12">
        <v>0</v>
      </c>
      <c r="J988" s="12">
        <v>1</v>
      </c>
      <c r="K988" s="13" t="str">
        <f t="shared" ref="K988:K989" si="228">HYPERLINK("http://twitter.com","Twitter Web Client")</f>
        <v>Twitter Web Client</v>
      </c>
      <c r="L988" s="12">
        <v>421</v>
      </c>
      <c r="M988" s="12">
        <v>423</v>
      </c>
      <c r="N988" s="12">
        <v>8</v>
      </c>
      <c r="O988" s="14"/>
      <c r="P988" s="6">
        <v>40986.32503472222</v>
      </c>
      <c r="Q988" s="15" t="s">
        <v>312</v>
      </c>
      <c r="R988" s="17" t="s">
        <v>313</v>
      </c>
      <c r="S988" s="11"/>
      <c r="T988" s="11"/>
      <c r="U988" s="10" t="str">
        <f>HYPERLINK("https://pbs.twimg.com/profile_images/1071355442616561664/eeWCMpph.jpg","View")</f>
        <v>View</v>
      </c>
    </row>
    <row r="989" spans="1:21" ht="40.799999999999997">
      <c r="A989" s="6">
        <v>43440.381469907406</v>
      </c>
      <c r="B989" s="7" t="str">
        <f>HYPERLINK("https://twitter.com/ESdiario_com","@ESdiario_com")</f>
        <v>@ESdiario_com</v>
      </c>
      <c r="C989" s="8" t="s">
        <v>3661</v>
      </c>
      <c r="D989" s="9" t="s">
        <v>3662</v>
      </c>
      <c r="E989" s="10" t="str">
        <f>HYPERLINK("https://twitter.com/ESdiario_com/status/1070590998198317056","1070590998198317056")</f>
        <v>1070590998198317056</v>
      </c>
      <c r="F989" s="16" t="s">
        <v>3658</v>
      </c>
      <c r="G989" s="11"/>
      <c r="H989" s="11"/>
      <c r="I989" s="12">
        <v>8</v>
      </c>
      <c r="J989" s="12">
        <v>7</v>
      </c>
      <c r="K989" s="13" t="str">
        <f t="shared" si="228"/>
        <v>Twitter Web Client</v>
      </c>
      <c r="L989" s="12">
        <v>30936</v>
      </c>
      <c r="M989" s="12">
        <v>707</v>
      </c>
      <c r="N989" s="12">
        <v>497</v>
      </c>
      <c r="O989" s="14"/>
      <c r="P989" s="6">
        <v>40584.500949074078</v>
      </c>
      <c r="Q989" s="15" t="s">
        <v>157</v>
      </c>
      <c r="R989" s="17" t="s">
        <v>3663</v>
      </c>
      <c r="S989" s="16" t="s">
        <v>3664</v>
      </c>
      <c r="T989" s="11"/>
      <c r="U989" s="10" t="str">
        <f>HYPERLINK("https://pbs.twimg.com/profile_images/708363281308753920/7qh3akOb.jpg","View")</f>
        <v>View</v>
      </c>
    </row>
    <row r="990" spans="1:21" ht="40.799999999999997">
      <c r="A990" s="6">
        <v>43440.380266203705</v>
      </c>
      <c r="B990" s="7" t="str">
        <f>HYPERLINK("https://twitter.com/pasionxespana","@pasionxespana")</f>
        <v>@pasionxespana</v>
      </c>
      <c r="C990" s="8" t="s">
        <v>3665</v>
      </c>
      <c r="D990" s="9" t="s">
        <v>3666</v>
      </c>
      <c r="E990" s="10" t="str">
        <f>HYPERLINK("https://twitter.com/pasionxespana/status/1070590564167548928","1070590564167548928")</f>
        <v>1070590564167548928</v>
      </c>
      <c r="F990" s="16" t="s">
        <v>3667</v>
      </c>
      <c r="G990" s="16" t="s">
        <v>3668</v>
      </c>
      <c r="H990" s="11"/>
      <c r="I990" s="12">
        <v>0</v>
      </c>
      <c r="J990" s="12">
        <v>0</v>
      </c>
      <c r="K990" s="13" t="str">
        <f>HYPERLINK("https://ifttt.com","IFTTT")</f>
        <v>IFTTT</v>
      </c>
      <c r="L990" s="12">
        <v>1860</v>
      </c>
      <c r="M990" s="12">
        <v>3037</v>
      </c>
      <c r="N990" s="12">
        <v>40</v>
      </c>
      <c r="O990" s="14"/>
      <c r="P990" s="6">
        <v>42607.629606481481</v>
      </c>
      <c r="Q990" s="11"/>
      <c r="R990" s="17" t="s">
        <v>3669</v>
      </c>
      <c r="S990" s="16" t="s">
        <v>3670</v>
      </c>
      <c r="T990" s="11"/>
      <c r="U990" s="10" t="str">
        <f>HYPERLINK("https://pbs.twimg.com/profile_images/903227976258551808/C6YEfbP_.jpg","View")</f>
        <v>View</v>
      </c>
    </row>
    <row r="991" spans="1:21" ht="51">
      <c r="A991" s="6">
        <v>43440.375694444447</v>
      </c>
      <c r="B991" s="7" t="str">
        <f>HYPERLINK("https://twitter.com/bitMomentum","@bitMomentum")</f>
        <v>@bitMomentum</v>
      </c>
      <c r="C991" s="8" t="s">
        <v>82</v>
      </c>
      <c r="D991" s="9" t="s">
        <v>3671</v>
      </c>
      <c r="E991" s="10" t="str">
        <f>HYPERLINK("https://twitter.com/bitMomentum/status/1070588904879861760","1070588904879861760")</f>
        <v>1070588904879861760</v>
      </c>
      <c r="F991" s="11"/>
      <c r="G991" s="11"/>
      <c r="H991" s="11"/>
      <c r="I991" s="12">
        <v>0</v>
      </c>
      <c r="J991" s="12">
        <v>1</v>
      </c>
      <c r="K991" s="13" t="str">
        <f>HYPERLINK("http://www.bitmomentum.com","bitMomentum Bot")</f>
        <v>bitMomentum Bot</v>
      </c>
      <c r="L991" s="12">
        <v>10253</v>
      </c>
      <c r="M991" s="12">
        <v>1059</v>
      </c>
      <c r="N991" s="12">
        <v>263</v>
      </c>
      <c r="O991" s="14"/>
      <c r="P991" s="6">
        <v>41608.667511574073</v>
      </c>
      <c r="Q991" s="11"/>
      <c r="R991" s="17" t="s">
        <v>84</v>
      </c>
      <c r="S991" s="16" t="s">
        <v>85</v>
      </c>
      <c r="T991" s="11"/>
      <c r="U991" s="10" t="str">
        <f>HYPERLINK("https://pbs.twimg.com/profile_images/378800000862185241/20ij2H3u.png","View")</f>
        <v>View</v>
      </c>
    </row>
    <row r="992" spans="1:21" ht="61.2">
      <c r="A992" s="6">
        <v>43440.375393518523</v>
      </c>
      <c r="B992" s="7" t="str">
        <f>HYPERLINK("https://twitter.com/pasionxespana","@pasionxespana")</f>
        <v>@pasionxespana</v>
      </c>
      <c r="C992" s="8" t="s">
        <v>3665</v>
      </c>
      <c r="D992" s="9" t="s">
        <v>3672</v>
      </c>
      <c r="E992" s="10" t="str">
        <f>HYPERLINK("https://twitter.com/pasionxespana/status/1070588797316943872","1070588797316943872")</f>
        <v>1070588797316943872</v>
      </c>
      <c r="F992" s="11"/>
      <c r="G992" s="16" t="s">
        <v>3673</v>
      </c>
      <c r="H992" s="11"/>
      <c r="I992" s="12">
        <v>0</v>
      </c>
      <c r="J992" s="12">
        <v>0</v>
      </c>
      <c r="K992" s="13" t="str">
        <f>HYPERLINK("https://ifttt.com","IFTTT")</f>
        <v>IFTTT</v>
      </c>
      <c r="L992" s="12">
        <v>1860</v>
      </c>
      <c r="M992" s="12">
        <v>3037</v>
      </c>
      <c r="N992" s="12">
        <v>40</v>
      </c>
      <c r="O992" s="14"/>
      <c r="P992" s="6">
        <v>42607.629606481481</v>
      </c>
      <c r="Q992" s="11"/>
      <c r="R992" s="17" t="s">
        <v>3669</v>
      </c>
      <c r="S992" s="16" t="s">
        <v>3670</v>
      </c>
      <c r="T992" s="11"/>
      <c r="U992" s="10" t="str">
        <f>HYPERLINK("https://pbs.twimg.com/profile_images/903227976258551808/C6YEfbP_.jpg","View")</f>
        <v>View</v>
      </c>
    </row>
    <row r="993" spans="1:21" ht="51">
      <c r="A993" s="6">
        <v>43440.374652777777</v>
      </c>
      <c r="B993" s="7" t="str">
        <f>HYPERLINK("https://twitter.com/FrayJosepho","@FrayJosepho")</f>
        <v>@FrayJosepho</v>
      </c>
      <c r="C993" s="8" t="s">
        <v>2560</v>
      </c>
      <c r="D993" s="9" t="s">
        <v>3674</v>
      </c>
      <c r="E993" s="10" t="str">
        <f>HYPERLINK("https://twitter.com/FrayJosepho/status/1070588529477120001","1070588529477120001")</f>
        <v>1070588529477120001</v>
      </c>
      <c r="F993" s="11"/>
      <c r="G993" s="11"/>
      <c r="H993" s="11"/>
      <c r="I993" s="12">
        <v>261</v>
      </c>
      <c r="J993" s="12">
        <v>749</v>
      </c>
      <c r="K993" s="13" t="str">
        <f>HYPERLINK("https://about.twitter.com/products/tweetdeck","TweetDeck")</f>
        <v>TweetDeck</v>
      </c>
      <c r="L993" s="12">
        <v>63341</v>
      </c>
      <c r="M993" s="12">
        <v>516</v>
      </c>
      <c r="N993" s="12">
        <v>654</v>
      </c>
      <c r="O993" s="23" t="s">
        <v>89</v>
      </c>
      <c r="P993" s="6">
        <v>40263.030856481484</v>
      </c>
      <c r="Q993" s="15" t="s">
        <v>197</v>
      </c>
      <c r="R993" s="17" t="s">
        <v>2563</v>
      </c>
      <c r="S993" s="16" t="s">
        <v>2564</v>
      </c>
      <c r="T993" s="11"/>
      <c r="U993" s="10" t="str">
        <f>HYPERLINK("https://pbs.twimg.com/profile_images/849684697261236224/hBxcfTCk.jpg","View")</f>
        <v>View</v>
      </c>
    </row>
    <row r="994" spans="1:21" ht="51">
      <c r="A994" s="6">
        <v>43440.37027777778</v>
      </c>
      <c r="B994" s="7" t="str">
        <f>HYPERLINK("https://twitter.com/manu240978","@manu240978")</f>
        <v>@manu240978</v>
      </c>
      <c r="C994" s="8" t="s">
        <v>3675</v>
      </c>
      <c r="D994" s="9" t="s">
        <v>3676</v>
      </c>
      <c r="E994" s="10" t="str">
        <f>HYPERLINK("https://twitter.com/manu240978/status/1070586943182921733","1070586943182921733")</f>
        <v>1070586943182921733</v>
      </c>
      <c r="F994" s="11"/>
      <c r="G994" s="11"/>
      <c r="H994" s="11"/>
      <c r="I994" s="12">
        <v>0</v>
      </c>
      <c r="J994" s="12">
        <v>0</v>
      </c>
      <c r="K994" s="13" t="str">
        <f>HYPERLINK("http://twitter.com/download/iphone","Twitter for iPhone")</f>
        <v>Twitter for iPhone</v>
      </c>
      <c r="L994" s="12">
        <v>112</v>
      </c>
      <c r="M994" s="12">
        <v>270</v>
      </c>
      <c r="N994" s="12">
        <v>0</v>
      </c>
      <c r="O994" s="14"/>
      <c r="P994" s="6">
        <v>41476.737476851849</v>
      </c>
      <c r="Q994" s="15" t="s">
        <v>3677</v>
      </c>
      <c r="R994" s="17" t="s">
        <v>3678</v>
      </c>
      <c r="S994" s="11"/>
      <c r="T994" s="11"/>
      <c r="U994" s="10" t="str">
        <f>HYPERLINK("https://pbs.twimg.com/profile_images/1038345510560718848/weaVThY3.jpg","View")</f>
        <v>View</v>
      </c>
    </row>
    <row r="995" spans="1:21" ht="61.2">
      <c r="A995" s="6">
        <v>43440.369664351849</v>
      </c>
      <c r="B995" s="7" t="str">
        <f>HYPERLINK("https://twitter.com/lunadebenidorm","@lunadebenidorm")</f>
        <v>@lunadebenidorm</v>
      </c>
      <c r="C995" s="8" t="s">
        <v>1215</v>
      </c>
      <c r="D995" s="9" t="s">
        <v>3679</v>
      </c>
      <c r="E995" s="10" t="str">
        <f>HYPERLINK("https://twitter.com/lunadebenidorm/status/1070586719106424833","1070586719106424833")</f>
        <v>1070586719106424833</v>
      </c>
      <c r="F995" s="15" t="s">
        <v>3680</v>
      </c>
      <c r="G995" s="11"/>
      <c r="H995" s="11"/>
      <c r="I995" s="12">
        <v>0</v>
      </c>
      <c r="J995" s="12">
        <v>0</v>
      </c>
      <c r="K995" s="13" t="str">
        <f>HYPERLINK("http://twitter.com/download/android","Twitter for Android")</f>
        <v>Twitter for Android</v>
      </c>
      <c r="L995" s="12">
        <v>3951</v>
      </c>
      <c r="M995" s="12">
        <v>4067</v>
      </c>
      <c r="N995" s="12">
        <v>79</v>
      </c>
      <c r="O995" s="14"/>
      <c r="P995" s="6">
        <v>41461.81186342593</v>
      </c>
      <c r="Q995" s="11"/>
      <c r="R995" s="17" t="s">
        <v>1217</v>
      </c>
      <c r="S995" s="11"/>
      <c r="T995" s="11"/>
      <c r="U995" s="10" t="str">
        <f>HYPERLINK("https://pbs.twimg.com/profile_images/1066142568734515203/pN2PG8WE.jpg","View")</f>
        <v>View</v>
      </c>
    </row>
    <row r="996" spans="1:21" ht="61.2">
      <c r="A996" s="6">
        <v>43440.369166666671</v>
      </c>
      <c r="B996" s="7" t="str">
        <f>HYPERLINK("https://twitter.com/RamonVO83","@RamonVO83")</f>
        <v>@RamonVO83</v>
      </c>
      <c r="C996" s="8" t="s">
        <v>3681</v>
      </c>
      <c r="D996" s="9" t="s">
        <v>3682</v>
      </c>
      <c r="E996" s="10" t="str">
        <f>HYPERLINK("https://twitter.com/RamonVO83/status/1070586538923307010","1070586538923307010")</f>
        <v>1070586538923307010</v>
      </c>
      <c r="F996" s="15" t="s">
        <v>2814</v>
      </c>
      <c r="G996" s="11"/>
      <c r="H996" s="11"/>
      <c r="I996" s="12">
        <v>0</v>
      </c>
      <c r="J996" s="12">
        <v>1</v>
      </c>
      <c r="K996" s="13" t="str">
        <f>HYPERLINK("http://twitter.com/download/iphone","Twitter for iPhone")</f>
        <v>Twitter for iPhone</v>
      </c>
      <c r="L996" s="12">
        <v>694</v>
      </c>
      <c r="M996" s="12">
        <v>896</v>
      </c>
      <c r="N996" s="12">
        <v>13</v>
      </c>
      <c r="O996" s="14"/>
      <c r="P996" s="6">
        <v>40473.503310185188</v>
      </c>
      <c r="Q996" s="11"/>
      <c r="R996" s="17" t="s">
        <v>3683</v>
      </c>
      <c r="S996" s="11"/>
      <c r="T996" s="11"/>
      <c r="U996" s="10" t="str">
        <f>HYPERLINK("https://pbs.twimg.com/profile_images/879082156676534272/bweBB_TA.jpg","View")</f>
        <v>View</v>
      </c>
    </row>
    <row r="997" spans="1:21" ht="81.599999999999994">
      <c r="A997" s="6">
        <v>43440.368252314816</v>
      </c>
      <c r="B997" s="7" t="str">
        <f>HYPERLINK("https://twitter.com/lunadebenidorm","@lunadebenidorm")</f>
        <v>@lunadebenidorm</v>
      </c>
      <c r="C997" s="8" t="s">
        <v>1215</v>
      </c>
      <c r="D997" s="9" t="s">
        <v>3684</v>
      </c>
      <c r="E997" s="10" t="str">
        <f>HYPERLINK("https://twitter.com/lunadebenidorm/status/1070586207766241281","1070586207766241281")</f>
        <v>1070586207766241281</v>
      </c>
      <c r="F997" s="16" t="s">
        <v>3685</v>
      </c>
      <c r="G997" s="16" t="s">
        <v>3686</v>
      </c>
      <c r="H997" s="11"/>
      <c r="I997" s="12">
        <v>0</v>
      </c>
      <c r="J997" s="12">
        <v>0</v>
      </c>
      <c r="K997" s="13" t="str">
        <f>HYPERLINK("http://twitter.com/download/android","Twitter for Android")</f>
        <v>Twitter for Android</v>
      </c>
      <c r="L997" s="12">
        <v>3951</v>
      </c>
      <c r="M997" s="12">
        <v>4067</v>
      </c>
      <c r="N997" s="12">
        <v>79</v>
      </c>
      <c r="O997" s="14"/>
      <c r="P997" s="6">
        <v>41461.81186342593</v>
      </c>
      <c r="Q997" s="11"/>
      <c r="R997" s="17" t="s">
        <v>1217</v>
      </c>
      <c r="S997" s="11"/>
      <c r="T997" s="11"/>
      <c r="U997" s="10" t="str">
        <f>HYPERLINK("https://pbs.twimg.com/profile_images/1066142568734515203/pN2PG8WE.jpg","View")</f>
        <v>View</v>
      </c>
    </row>
    <row r="998" spans="1:21" ht="51">
      <c r="A998" s="6">
        <v>43440.368055555555</v>
      </c>
      <c r="B998" s="7" t="str">
        <f t="shared" ref="B998:B999" si="229">HYPERLINK("https://twitter.com/CurroTroya","@CurroTroya")</f>
        <v>@CurroTroya</v>
      </c>
      <c r="C998" s="8" t="s">
        <v>3687</v>
      </c>
      <c r="D998" s="9" t="s">
        <v>3688</v>
      </c>
      <c r="E998" s="10" t="str">
        <f>HYPERLINK("https://twitter.com/CurroTroya/status/1070586137188622336","1070586137188622336")</f>
        <v>1070586137188622336</v>
      </c>
      <c r="F998" s="16" t="s">
        <v>3689</v>
      </c>
      <c r="G998" s="11"/>
      <c r="H998" s="11"/>
      <c r="I998" s="12">
        <v>2</v>
      </c>
      <c r="J998" s="12">
        <v>3</v>
      </c>
      <c r="K998" s="13" t="str">
        <f t="shared" ref="K998:K999" si="230">HYPERLINK("https://about.twitter.com/products/tweetdeck","TweetDeck")</f>
        <v>TweetDeck</v>
      </c>
      <c r="L998" s="12">
        <v>15192</v>
      </c>
      <c r="M998" s="12">
        <v>6480</v>
      </c>
      <c r="N998" s="12">
        <v>479</v>
      </c>
      <c r="O998" s="14"/>
      <c r="P998" s="6">
        <v>39989.777754629627</v>
      </c>
      <c r="Q998" s="15" t="s">
        <v>1359</v>
      </c>
      <c r="R998" s="17" t="s">
        <v>3690</v>
      </c>
      <c r="S998" s="16" t="s">
        <v>3691</v>
      </c>
      <c r="T998" s="11"/>
      <c r="U998" s="10" t="str">
        <f t="shared" ref="U998:U999" si="231">HYPERLINK("https://pbs.twimg.com/profile_images/1010977003196076033/3hTl853S.jpg","View")</f>
        <v>View</v>
      </c>
    </row>
    <row r="999" spans="1:21" ht="40.799999999999997">
      <c r="A999" s="6">
        <v>43440.364583333328</v>
      </c>
      <c r="B999" s="7" t="str">
        <f t="shared" si="229"/>
        <v>@CurroTroya</v>
      </c>
      <c r="C999" s="8" t="s">
        <v>3687</v>
      </c>
      <c r="D999" s="9" t="s">
        <v>3692</v>
      </c>
      <c r="E999" s="10" t="str">
        <f>HYPERLINK("https://twitter.com/CurroTroya/status/1070584879044157445","1070584879044157445")</f>
        <v>1070584879044157445</v>
      </c>
      <c r="F999" s="16" t="s">
        <v>3693</v>
      </c>
      <c r="G999" s="11"/>
      <c r="H999" s="11"/>
      <c r="I999" s="12">
        <v>9</v>
      </c>
      <c r="J999" s="12">
        <v>7</v>
      </c>
      <c r="K999" s="13" t="str">
        <f t="shared" si="230"/>
        <v>TweetDeck</v>
      </c>
      <c r="L999" s="12">
        <v>15192</v>
      </c>
      <c r="M999" s="12">
        <v>6480</v>
      </c>
      <c r="N999" s="12">
        <v>479</v>
      </c>
      <c r="O999" s="14"/>
      <c r="P999" s="6">
        <v>39989.777754629627</v>
      </c>
      <c r="Q999" s="15" t="s">
        <v>1359</v>
      </c>
      <c r="R999" s="17" t="s">
        <v>3690</v>
      </c>
      <c r="S999" s="16" t="s">
        <v>3691</v>
      </c>
      <c r="T999" s="11"/>
      <c r="U999" s="10" t="str">
        <f t="shared" si="231"/>
        <v>View</v>
      </c>
    </row>
    <row r="1000" spans="1:21" ht="40.799999999999997">
      <c r="A1000" s="6">
        <v>43440.362129629633</v>
      </c>
      <c r="B1000" s="7" t="str">
        <f>HYPERLINK("https://twitter.com/lunadebenidorm","@lunadebenidorm")</f>
        <v>@lunadebenidorm</v>
      </c>
      <c r="C1000" s="8" t="s">
        <v>1215</v>
      </c>
      <c r="D1000" s="9" t="s">
        <v>3694</v>
      </c>
      <c r="E1000" s="10" t="str">
        <f>HYPERLINK("https://twitter.com/lunadebenidorm/status/1070583989734379521","1070583989734379521")</f>
        <v>1070583989734379521</v>
      </c>
      <c r="F1000" s="15" t="s">
        <v>3695</v>
      </c>
      <c r="G1000" s="11"/>
      <c r="H1000" s="11"/>
      <c r="I1000" s="12">
        <v>0</v>
      </c>
      <c r="J1000" s="12">
        <v>0</v>
      </c>
      <c r="K1000" s="13" t="str">
        <f t="shared" ref="K1000:K1009" si="232">HYPERLINK("http://twitter.com/download/android","Twitter for Android")</f>
        <v>Twitter for Android</v>
      </c>
      <c r="L1000" s="12">
        <v>3951</v>
      </c>
      <c r="M1000" s="12">
        <v>4067</v>
      </c>
      <c r="N1000" s="12">
        <v>79</v>
      </c>
      <c r="O1000" s="14"/>
      <c r="P1000" s="6">
        <v>41461.81186342593</v>
      </c>
      <c r="Q1000" s="11"/>
      <c r="R1000" s="17" t="s">
        <v>1217</v>
      </c>
      <c r="S1000" s="11"/>
      <c r="T1000" s="11"/>
      <c r="U1000" s="10" t="str">
        <f>HYPERLINK("https://pbs.twimg.com/profile_images/1066142568734515203/pN2PG8WE.jpg","View")</f>
        <v>View</v>
      </c>
    </row>
    <row r="1001" spans="1:21" ht="30.6">
      <c r="A1001" s="6">
        <v>43440.360474537039</v>
      </c>
      <c r="B1001" s="7" t="str">
        <f>HYPERLINK("https://twitter.com/Albertocandome","@Albertocandome")</f>
        <v>@Albertocandome</v>
      </c>
      <c r="C1001" s="8" t="s">
        <v>3696</v>
      </c>
      <c r="D1001" s="9" t="s">
        <v>3697</v>
      </c>
      <c r="E1001" s="10" t="str">
        <f>HYPERLINK("https://twitter.com/Albertocandome/status/1070583390477402113","1070583390477402113")</f>
        <v>1070583390477402113</v>
      </c>
      <c r="F1001" s="11"/>
      <c r="G1001" s="11"/>
      <c r="H1001" s="11"/>
      <c r="I1001" s="12">
        <v>0</v>
      </c>
      <c r="J1001" s="12">
        <v>0</v>
      </c>
      <c r="K1001" s="13" t="str">
        <f t="shared" si="232"/>
        <v>Twitter for Android</v>
      </c>
      <c r="L1001" s="12">
        <v>366</v>
      </c>
      <c r="M1001" s="12">
        <v>359</v>
      </c>
      <c r="N1001" s="12">
        <v>2</v>
      </c>
      <c r="O1001" s="14"/>
      <c r="P1001" s="6">
        <v>41023.051030092596</v>
      </c>
      <c r="Q1001" s="15" t="s">
        <v>3698</v>
      </c>
      <c r="R1001" s="17" t="s">
        <v>3699</v>
      </c>
      <c r="S1001" s="16" t="s">
        <v>3700</v>
      </c>
      <c r="T1001" s="11"/>
      <c r="U1001" s="10" t="str">
        <f>HYPERLINK("https://pbs.twimg.com/profile_images/1070590268410396672/WXzIJ6Yy.jpg","View")</f>
        <v>View</v>
      </c>
    </row>
    <row r="1002" spans="1:21" ht="71.400000000000006">
      <c r="A1002" s="6">
        <v>43440.358969907407</v>
      </c>
      <c r="B1002" s="7" t="str">
        <f>HYPERLINK("https://twitter.com/lunadebenidorm","@lunadebenidorm")</f>
        <v>@lunadebenidorm</v>
      </c>
      <c r="C1002" s="8" t="s">
        <v>1215</v>
      </c>
      <c r="D1002" s="9" t="s">
        <v>3701</v>
      </c>
      <c r="E1002" s="10" t="str">
        <f>HYPERLINK("https://twitter.com/lunadebenidorm/status/1070582844433539072","1070582844433539072")</f>
        <v>1070582844433539072</v>
      </c>
      <c r="F1002" s="16" t="s">
        <v>3702</v>
      </c>
      <c r="G1002" s="11"/>
      <c r="H1002" s="11"/>
      <c r="I1002" s="12">
        <v>0</v>
      </c>
      <c r="J1002" s="12">
        <v>0</v>
      </c>
      <c r="K1002" s="13" t="str">
        <f t="shared" si="232"/>
        <v>Twitter for Android</v>
      </c>
      <c r="L1002" s="12">
        <v>3951</v>
      </c>
      <c r="M1002" s="12">
        <v>4067</v>
      </c>
      <c r="N1002" s="12">
        <v>79</v>
      </c>
      <c r="O1002" s="14"/>
      <c r="P1002" s="6">
        <v>41461.81186342593</v>
      </c>
      <c r="Q1002" s="11"/>
      <c r="R1002" s="17" t="s">
        <v>1217</v>
      </c>
      <c r="S1002" s="11"/>
      <c r="T1002" s="11"/>
      <c r="U1002" s="10" t="str">
        <f>HYPERLINK("https://pbs.twimg.com/profile_images/1066142568734515203/pN2PG8WE.jpg","View")</f>
        <v>View</v>
      </c>
    </row>
    <row r="1003" spans="1:21" ht="81.599999999999994">
      <c r="A1003" s="6">
        <v>43440.355196759258</v>
      </c>
      <c r="B1003" s="7" t="str">
        <f>HYPERLINK("https://twitter.com/LopezRiky749","@LopezRiky749")</f>
        <v>@LopezRiky749</v>
      </c>
      <c r="C1003" s="8" t="s">
        <v>3703</v>
      </c>
      <c r="D1003" s="9" t="s">
        <v>3704</v>
      </c>
      <c r="E1003" s="10" t="str">
        <f>HYPERLINK("https://twitter.com/LopezRiky749/status/1070581478709444608","1070581478709444608")</f>
        <v>1070581478709444608</v>
      </c>
      <c r="F1003" s="16" t="s">
        <v>2854</v>
      </c>
      <c r="G1003" s="16" t="s">
        <v>2855</v>
      </c>
      <c r="H1003" s="11"/>
      <c r="I1003" s="12">
        <v>0</v>
      </c>
      <c r="J1003" s="12">
        <v>0</v>
      </c>
      <c r="K1003" s="13" t="str">
        <f t="shared" si="232"/>
        <v>Twitter for Android</v>
      </c>
      <c r="L1003" s="12">
        <v>39</v>
      </c>
      <c r="M1003" s="12">
        <v>474</v>
      </c>
      <c r="N1003" s="12">
        <v>0</v>
      </c>
      <c r="O1003" s="14"/>
      <c r="P1003" s="6">
        <v>41863.392245370371</v>
      </c>
      <c r="Q1003" s="11"/>
      <c r="R1003" s="18"/>
      <c r="S1003" s="11"/>
      <c r="T1003" s="11"/>
      <c r="U1003" s="10" t="str">
        <f>HYPERLINK("https://pbs.twimg.com/profile_images/984513674059681793/6XNM_7jQ.jpg","View")</f>
        <v>View</v>
      </c>
    </row>
    <row r="1004" spans="1:21" ht="71.400000000000006">
      <c r="A1004" s="6">
        <v>43440.354907407411</v>
      </c>
      <c r="B1004" s="7" t="str">
        <f>HYPERLINK("https://twitter.com/pradavega4","@pradavega4")</f>
        <v>@pradavega4</v>
      </c>
      <c r="C1004" s="8" t="s">
        <v>3705</v>
      </c>
      <c r="D1004" s="9" t="s">
        <v>3706</v>
      </c>
      <c r="E1004" s="10" t="str">
        <f>HYPERLINK("https://twitter.com/pradavega4/status/1070581372287356929","1070581372287356929")</f>
        <v>1070581372287356929</v>
      </c>
      <c r="F1004" s="16" t="s">
        <v>3707</v>
      </c>
      <c r="G1004" s="16" t="s">
        <v>3708</v>
      </c>
      <c r="H1004" s="11"/>
      <c r="I1004" s="12">
        <v>0</v>
      </c>
      <c r="J1004" s="12">
        <v>0</v>
      </c>
      <c r="K1004" s="13" t="str">
        <f t="shared" si="232"/>
        <v>Twitter for Android</v>
      </c>
      <c r="L1004" s="12">
        <v>247</v>
      </c>
      <c r="M1004" s="12">
        <v>418</v>
      </c>
      <c r="N1004" s="12">
        <v>3</v>
      </c>
      <c r="O1004" s="14"/>
      <c r="P1004" s="6">
        <v>40696.897581018522</v>
      </c>
      <c r="Q1004" s="15" t="s">
        <v>3709</v>
      </c>
      <c r="R1004" s="17" t="s">
        <v>3710</v>
      </c>
      <c r="S1004" s="11"/>
      <c r="T1004" s="11"/>
      <c r="U1004" s="10" t="str">
        <f>HYPERLINK("https://pbs.twimg.com/profile_images/609959799049031680/4uZ9d0Xa.jpg","View")</f>
        <v>View</v>
      </c>
    </row>
    <row r="1005" spans="1:21" ht="81.599999999999994">
      <c r="A1005" s="6">
        <v>43440.352766203709</v>
      </c>
      <c r="B1005" s="7" t="str">
        <f t="shared" ref="B1005:B1007" si="233">HYPERLINK("https://twitter.com/lunadebenidorm","@lunadebenidorm")</f>
        <v>@lunadebenidorm</v>
      </c>
      <c r="C1005" s="8" t="s">
        <v>1215</v>
      </c>
      <c r="D1005" s="9" t="s">
        <v>3711</v>
      </c>
      <c r="E1005" s="10" t="str">
        <f>HYPERLINK("https://twitter.com/lunadebenidorm/status/1070580598220222464","1070580598220222464")</f>
        <v>1070580598220222464</v>
      </c>
      <c r="F1005" s="16" t="s">
        <v>3712</v>
      </c>
      <c r="G1005" s="11"/>
      <c r="H1005" s="11"/>
      <c r="I1005" s="12">
        <v>0</v>
      </c>
      <c r="J1005" s="12">
        <v>1</v>
      </c>
      <c r="K1005" s="13" t="str">
        <f t="shared" si="232"/>
        <v>Twitter for Android</v>
      </c>
      <c r="L1005" s="12">
        <v>3951</v>
      </c>
      <c r="M1005" s="12">
        <v>4067</v>
      </c>
      <c r="N1005" s="12">
        <v>79</v>
      </c>
      <c r="O1005" s="14"/>
      <c r="P1005" s="6">
        <v>41461.81186342593</v>
      </c>
      <c r="Q1005" s="11"/>
      <c r="R1005" s="17" t="s">
        <v>1217</v>
      </c>
      <c r="S1005" s="11"/>
      <c r="T1005" s="11"/>
      <c r="U1005" s="10" t="str">
        <f t="shared" ref="U1005:U1007" si="234">HYPERLINK("https://pbs.twimg.com/profile_images/1066142568734515203/pN2PG8WE.jpg","View")</f>
        <v>View</v>
      </c>
    </row>
    <row r="1006" spans="1:21" ht="51">
      <c r="A1006" s="6">
        <v>43440.350694444445</v>
      </c>
      <c r="B1006" s="7" t="str">
        <f t="shared" si="233"/>
        <v>@lunadebenidorm</v>
      </c>
      <c r="C1006" s="8" t="s">
        <v>1215</v>
      </c>
      <c r="D1006" s="9" t="s">
        <v>3713</v>
      </c>
      <c r="E1006" s="10" t="str">
        <f>HYPERLINK("https://twitter.com/lunadebenidorm/status/1070579848400289792","1070579848400289792")</f>
        <v>1070579848400289792</v>
      </c>
      <c r="F1006" s="16" t="s">
        <v>3714</v>
      </c>
      <c r="G1006" s="16" t="s">
        <v>3715</v>
      </c>
      <c r="H1006" s="11"/>
      <c r="I1006" s="12">
        <v>0</v>
      </c>
      <c r="J1006" s="12">
        <v>0</v>
      </c>
      <c r="K1006" s="13" t="str">
        <f t="shared" si="232"/>
        <v>Twitter for Android</v>
      </c>
      <c r="L1006" s="12">
        <v>3951</v>
      </c>
      <c r="M1006" s="12">
        <v>4067</v>
      </c>
      <c r="N1006" s="12">
        <v>79</v>
      </c>
      <c r="O1006" s="14"/>
      <c r="P1006" s="6">
        <v>41461.81186342593</v>
      </c>
      <c r="Q1006" s="11"/>
      <c r="R1006" s="17" t="s">
        <v>1217</v>
      </c>
      <c r="S1006" s="11"/>
      <c r="T1006" s="11"/>
      <c r="U1006" s="10" t="str">
        <f t="shared" si="234"/>
        <v>View</v>
      </c>
    </row>
    <row r="1007" spans="1:21" ht="71.400000000000006">
      <c r="A1007" s="6">
        <v>43440.346990740742</v>
      </c>
      <c r="B1007" s="7" t="str">
        <f t="shared" si="233"/>
        <v>@lunadebenidorm</v>
      </c>
      <c r="C1007" s="8" t="s">
        <v>1215</v>
      </c>
      <c r="D1007" s="9" t="s">
        <v>3716</v>
      </c>
      <c r="E1007" s="10" t="str">
        <f>HYPERLINK("https://twitter.com/lunadebenidorm/status/1070578503341486082","1070578503341486082")</f>
        <v>1070578503341486082</v>
      </c>
      <c r="F1007" s="16" t="s">
        <v>3100</v>
      </c>
      <c r="G1007" s="11"/>
      <c r="H1007" s="11"/>
      <c r="I1007" s="12">
        <v>0</v>
      </c>
      <c r="J1007" s="12">
        <v>0</v>
      </c>
      <c r="K1007" s="13" t="str">
        <f t="shared" si="232"/>
        <v>Twitter for Android</v>
      </c>
      <c r="L1007" s="12">
        <v>3951</v>
      </c>
      <c r="M1007" s="12">
        <v>4067</v>
      </c>
      <c r="N1007" s="12">
        <v>79</v>
      </c>
      <c r="O1007" s="14"/>
      <c r="P1007" s="6">
        <v>41461.81186342593</v>
      </c>
      <c r="Q1007" s="11"/>
      <c r="R1007" s="17" t="s">
        <v>1217</v>
      </c>
      <c r="S1007" s="11"/>
      <c r="T1007" s="11"/>
      <c r="U1007" s="10" t="str">
        <f t="shared" si="234"/>
        <v>View</v>
      </c>
    </row>
    <row r="1008" spans="1:21" ht="51">
      <c r="A1008" s="6">
        <v>43440.346608796295</v>
      </c>
      <c r="B1008" s="7" t="str">
        <f>HYPERLINK("https://twitter.com/marquezsergio09","@marquezsergio09")</f>
        <v>@marquezsergio09</v>
      </c>
      <c r="C1008" s="8" t="s">
        <v>3717</v>
      </c>
      <c r="D1008" s="9" t="s">
        <v>3718</v>
      </c>
      <c r="E1008" s="10" t="str">
        <f>HYPERLINK("https://twitter.com/marquezsergio09/status/1070578365571231745","1070578365571231745")</f>
        <v>1070578365571231745</v>
      </c>
      <c r="F1008" s="11"/>
      <c r="G1008" s="11"/>
      <c r="H1008" s="11"/>
      <c r="I1008" s="12">
        <v>1</v>
      </c>
      <c r="J1008" s="12">
        <v>1</v>
      </c>
      <c r="K1008" s="13" t="str">
        <f t="shared" si="232"/>
        <v>Twitter for Android</v>
      </c>
      <c r="L1008" s="12">
        <v>509</v>
      </c>
      <c r="M1008" s="12">
        <v>1013</v>
      </c>
      <c r="N1008" s="12">
        <v>0</v>
      </c>
      <c r="O1008" s="14"/>
      <c r="P1008" s="6">
        <v>42740.647418981476</v>
      </c>
      <c r="Q1008" s="15" t="s">
        <v>2412</v>
      </c>
      <c r="R1008" s="17" t="s">
        <v>3719</v>
      </c>
      <c r="S1008" s="11"/>
      <c r="T1008" s="11"/>
      <c r="U1008" s="10" t="str">
        <f>HYPERLINK("https://pbs.twimg.com/profile_images/1063280678782058497/HVuBkRi2.jpg","View")</f>
        <v>View</v>
      </c>
    </row>
    <row r="1009" spans="1:21" ht="51">
      <c r="A1009" s="6">
        <v>43440.346435185187</v>
      </c>
      <c r="B1009" s="7" t="str">
        <f>HYPERLINK("https://twitter.com/lunadebenidorm","@lunadebenidorm")</f>
        <v>@lunadebenidorm</v>
      </c>
      <c r="C1009" s="8" t="s">
        <v>1215</v>
      </c>
      <c r="D1009" s="9" t="s">
        <v>3720</v>
      </c>
      <c r="E1009" s="10" t="str">
        <f>HYPERLINK("https://twitter.com/lunadebenidorm/status/1070578305026400256","1070578305026400256")</f>
        <v>1070578305026400256</v>
      </c>
      <c r="F1009" s="11"/>
      <c r="G1009" s="11"/>
      <c r="H1009" s="11"/>
      <c r="I1009" s="12">
        <v>2</v>
      </c>
      <c r="J1009" s="12">
        <v>7</v>
      </c>
      <c r="K1009" s="13" t="str">
        <f t="shared" si="232"/>
        <v>Twitter for Android</v>
      </c>
      <c r="L1009" s="12">
        <v>3951</v>
      </c>
      <c r="M1009" s="12">
        <v>4067</v>
      </c>
      <c r="N1009" s="12">
        <v>79</v>
      </c>
      <c r="O1009" s="14"/>
      <c r="P1009" s="6">
        <v>41461.81186342593</v>
      </c>
      <c r="Q1009" s="11"/>
      <c r="R1009" s="17" t="s">
        <v>1217</v>
      </c>
      <c r="S1009" s="11"/>
      <c r="T1009" s="11"/>
      <c r="U1009" s="10" t="str">
        <f>HYPERLINK("https://pbs.twimg.com/profile_images/1066142568734515203/pN2PG8WE.jpg","View")</f>
        <v>View</v>
      </c>
    </row>
    <row r="1010" spans="1:21" ht="20.399999999999999">
      <c r="A1010" s="6">
        <v>43440.345451388886</v>
      </c>
      <c r="B1010" s="7" t="str">
        <f>HYPERLINK("https://twitter.com/AlfonsoRojoPD","@AlfonsoRojoPD")</f>
        <v>@AlfonsoRojoPD</v>
      </c>
      <c r="C1010" s="8" t="s">
        <v>1564</v>
      </c>
      <c r="D1010" s="9" t="s">
        <v>2565</v>
      </c>
      <c r="E1010" s="10" t="str">
        <f>HYPERLINK("https://twitter.com/AlfonsoRojoPD/status/1070577946535047168","1070577946535047168")</f>
        <v>1070577946535047168</v>
      </c>
      <c r="F1010" s="16" t="s">
        <v>1743</v>
      </c>
      <c r="G1010" s="11"/>
      <c r="H1010" s="11"/>
      <c r="I1010" s="12">
        <v>143</v>
      </c>
      <c r="J1010" s="12">
        <v>258</v>
      </c>
      <c r="K1010" s="13" t="str">
        <f>HYPERLINK("http://twitter.com","Twitter Web Client")</f>
        <v>Twitter Web Client</v>
      </c>
      <c r="L1010" s="12">
        <v>49129</v>
      </c>
      <c r="M1010" s="12">
        <v>0</v>
      </c>
      <c r="N1010" s="12">
        <v>677</v>
      </c>
      <c r="O1010" s="23" t="s">
        <v>89</v>
      </c>
      <c r="P1010" s="6">
        <v>41704.447048611109</v>
      </c>
      <c r="Q1010" s="15" t="s">
        <v>612</v>
      </c>
      <c r="R1010" s="17" t="s">
        <v>1565</v>
      </c>
      <c r="S1010" s="16" t="s">
        <v>1184</v>
      </c>
      <c r="T1010" s="11"/>
      <c r="U1010" s="10" t="str">
        <f>HYPERLINK("https://pbs.twimg.com/profile_images/441511791210663936/QbI_6aXh.jpeg","View")</f>
        <v>View</v>
      </c>
    </row>
    <row r="1011" spans="1:21" ht="13.2">
      <c r="A1011" s="6">
        <v>43440.341724537036</v>
      </c>
      <c r="B1011" s="7" t="str">
        <f>HYPERLINK("https://twitter.com/Bernithedude","@Bernithedude")</f>
        <v>@Bernithedude</v>
      </c>
      <c r="C1011" s="8" t="s">
        <v>3721</v>
      </c>
      <c r="D1011" s="9" t="s">
        <v>3722</v>
      </c>
      <c r="E1011" s="10" t="str">
        <f>HYPERLINK("https://twitter.com/Bernithedude/status/1070576597634351104","1070576597634351104")</f>
        <v>1070576597634351104</v>
      </c>
      <c r="F1011" s="11"/>
      <c r="G1011" s="11"/>
      <c r="H1011" s="11"/>
      <c r="I1011" s="12">
        <v>0</v>
      </c>
      <c r="J1011" s="12">
        <v>0</v>
      </c>
      <c r="K1011" s="13" t="str">
        <f>HYPERLINK("http://twitter.com/download/android","Twitter for Android")</f>
        <v>Twitter for Android</v>
      </c>
      <c r="L1011" s="12">
        <v>35</v>
      </c>
      <c r="M1011" s="12">
        <v>165</v>
      </c>
      <c r="N1011" s="12">
        <v>1</v>
      </c>
      <c r="O1011" s="14"/>
      <c r="P1011" s="6">
        <v>41398.071550925924</v>
      </c>
      <c r="Q1011" s="11"/>
      <c r="R1011" s="17" t="s">
        <v>3723</v>
      </c>
      <c r="S1011" s="11"/>
      <c r="T1011" s="11"/>
      <c r="U1011" s="10" t="str">
        <f>HYPERLINK("https://pbs.twimg.com/profile_images/640484178425958400/XQ0aHVR_.jpg","View")</f>
        <v>View</v>
      </c>
    </row>
    <row r="1012" spans="1:21" ht="51">
      <c r="A1012" s="6">
        <v>43440.338078703702</v>
      </c>
      <c r="B1012" s="7" t="str">
        <f>HYPERLINK("https://twitter.com/trendinaliaES","@trendinaliaES")</f>
        <v>@trendinaliaES</v>
      </c>
      <c r="C1012" s="8" t="s">
        <v>653</v>
      </c>
      <c r="D1012" s="9" t="s">
        <v>3724</v>
      </c>
      <c r="E1012" s="10" t="str">
        <f>HYPERLINK("https://twitter.com/trendinaliaES/status/1070575273542733824","1070575273542733824")</f>
        <v>1070575273542733824</v>
      </c>
      <c r="F1012" s="16" t="s">
        <v>3725</v>
      </c>
      <c r="G1012" s="11"/>
      <c r="H1012" s="11" t="str">
        <f>HYPERLINK("https://ctrlq.org/maps/address/#40.4203,-3.7058","Map")</f>
        <v>Map</v>
      </c>
      <c r="I1012" s="12">
        <v>0</v>
      </c>
      <c r="J1012" s="12">
        <v>0</v>
      </c>
      <c r="K1012" s="13" t="str">
        <f>HYPERLINK("http://laconversa.com","Es Tendencia en España")</f>
        <v>Es Tendencia en España</v>
      </c>
      <c r="L1012" s="12">
        <v>49257</v>
      </c>
      <c r="M1012" s="12">
        <v>34</v>
      </c>
      <c r="N1012" s="12">
        <v>722</v>
      </c>
      <c r="O1012" s="23" t="s">
        <v>89</v>
      </c>
      <c r="P1012" s="6">
        <v>41319.819074074076</v>
      </c>
      <c r="Q1012" s="15" t="s">
        <v>197</v>
      </c>
      <c r="R1012" s="17" t="s">
        <v>656</v>
      </c>
      <c r="S1012" s="16" t="s">
        <v>657</v>
      </c>
      <c r="T1012" s="11"/>
      <c r="U1012" s="10" t="str">
        <f>HYPERLINK("https://pbs.twimg.com/profile_images/696485210821632000/xpdMQ_mE.png","View")</f>
        <v>View</v>
      </c>
    </row>
    <row r="1013" spans="1:21" ht="51">
      <c r="A1013" s="6">
        <v>43440.336967592593</v>
      </c>
      <c r="B1013" s="7" t="str">
        <f>HYPERLINK("https://twitter.com/HTopinao","@HTopinao")</f>
        <v>@HTopinao</v>
      </c>
      <c r="C1013" s="8" t="s">
        <v>770</v>
      </c>
      <c r="D1013" s="9" t="s">
        <v>3726</v>
      </c>
      <c r="E1013" s="10" t="str">
        <f>HYPERLINK("https://twitter.com/HTopinao/status/1070574870826643457","1070574870826643457")</f>
        <v>1070574870826643457</v>
      </c>
      <c r="F1013" s="11"/>
      <c r="G1013" s="16" t="s">
        <v>3727</v>
      </c>
      <c r="H1013" s="11"/>
      <c r="I1013" s="12">
        <v>2</v>
      </c>
      <c r="J1013" s="12">
        <v>2</v>
      </c>
      <c r="K1013" s="13" t="str">
        <f>HYPERLINK("https://mobile.twitter.com","Twitter Lite")</f>
        <v>Twitter Lite</v>
      </c>
      <c r="L1013" s="12">
        <v>59</v>
      </c>
      <c r="M1013" s="12">
        <v>137</v>
      </c>
      <c r="N1013" s="12">
        <v>0</v>
      </c>
      <c r="O1013" s="14"/>
      <c r="P1013" s="6">
        <v>43363.402986111112</v>
      </c>
      <c r="Q1013" s="11"/>
      <c r="R1013" s="17" t="s">
        <v>773</v>
      </c>
      <c r="S1013" s="11"/>
      <c r="T1013" s="11"/>
      <c r="U1013" s="10" t="str">
        <f>HYPERLINK("https://pbs.twimg.com/profile_images/1042684706184093697/dug--VSh.jpg","View")</f>
        <v>View</v>
      </c>
    </row>
    <row r="1014" spans="1:21" ht="40.799999999999997">
      <c r="A1014" s="6">
        <v>43440.336516203708</v>
      </c>
      <c r="B1014" s="7" t="str">
        <f>HYPERLINK("https://twitter.com/lunadebenidorm","@lunadebenidorm")</f>
        <v>@lunadebenidorm</v>
      </c>
      <c r="C1014" s="8" t="s">
        <v>1215</v>
      </c>
      <c r="D1014" s="9" t="s">
        <v>3728</v>
      </c>
      <c r="E1014" s="10" t="str">
        <f>HYPERLINK("https://twitter.com/lunadebenidorm/status/1070574709950033921","1070574709950033921")</f>
        <v>1070574709950033921</v>
      </c>
      <c r="F1014" s="15" t="s">
        <v>3729</v>
      </c>
      <c r="G1014" s="11"/>
      <c r="H1014" s="11"/>
      <c r="I1014" s="12">
        <v>3</v>
      </c>
      <c r="J1014" s="12">
        <v>2</v>
      </c>
      <c r="K1014" s="13" t="str">
        <f t="shared" ref="K1014:K1015" si="235">HYPERLINK("http://twitter.com/download/android","Twitter for Android")</f>
        <v>Twitter for Android</v>
      </c>
      <c r="L1014" s="12">
        <v>3951</v>
      </c>
      <c r="M1014" s="12">
        <v>4067</v>
      </c>
      <c r="N1014" s="12">
        <v>79</v>
      </c>
      <c r="O1014" s="14"/>
      <c r="P1014" s="6">
        <v>41461.81186342593</v>
      </c>
      <c r="Q1014" s="11"/>
      <c r="R1014" s="17" t="s">
        <v>1217</v>
      </c>
      <c r="S1014" s="11"/>
      <c r="T1014" s="11"/>
      <c r="U1014" s="10" t="str">
        <f>HYPERLINK("https://pbs.twimg.com/profile_images/1066142568734515203/pN2PG8WE.jpg","View")</f>
        <v>View</v>
      </c>
    </row>
    <row r="1015" spans="1:21" ht="112.2">
      <c r="A1015" s="6">
        <v>43440.332280092596</v>
      </c>
      <c r="B1015" s="7" t="str">
        <f>HYPERLINK("https://twitter.com/UlisesGamez10","@UlisesGamez10")</f>
        <v>@UlisesGamez10</v>
      </c>
      <c r="C1015" s="8" t="s">
        <v>233</v>
      </c>
      <c r="D1015" s="9" t="s">
        <v>3730</v>
      </c>
      <c r="E1015" s="10" t="str">
        <f>HYPERLINK("https://twitter.com/UlisesGamez10/status/1070573173660368896","1070573173660368896")</f>
        <v>1070573173660368896</v>
      </c>
      <c r="F1015" s="16" t="s">
        <v>3731</v>
      </c>
      <c r="G1015" s="11"/>
      <c r="H1015" s="11"/>
      <c r="I1015" s="12">
        <v>0</v>
      </c>
      <c r="J1015" s="12">
        <v>1</v>
      </c>
      <c r="K1015" s="13" t="str">
        <f t="shared" si="235"/>
        <v>Twitter for Android</v>
      </c>
      <c r="L1015" s="12">
        <v>1184</v>
      </c>
      <c r="M1015" s="12">
        <v>5002</v>
      </c>
      <c r="N1015" s="12">
        <v>0</v>
      </c>
      <c r="O1015" s="14"/>
      <c r="P1015" s="6">
        <v>43190.59783564815</v>
      </c>
      <c r="Q1015" s="15" t="s">
        <v>236</v>
      </c>
      <c r="R1015" s="17" t="s">
        <v>237</v>
      </c>
      <c r="S1015" s="11"/>
      <c r="T1015" s="11"/>
      <c r="U1015" s="10" t="str">
        <f>HYPERLINK("https://pbs.twimg.com/profile_images/1068881444196499456/MCgxp2WR.jpg","View")</f>
        <v>View</v>
      </c>
    </row>
    <row r="1016" spans="1:21" ht="20.399999999999999">
      <c r="A1016" s="6">
        <v>43440.33216435185</v>
      </c>
      <c r="B1016" s="7" t="str">
        <f>HYPERLINK("https://twitter.com/vercasz","@vercasz")</f>
        <v>@vercasz</v>
      </c>
      <c r="C1016" s="8" t="s">
        <v>3732</v>
      </c>
      <c r="D1016" s="9" t="s">
        <v>315</v>
      </c>
      <c r="E1016" s="10" t="str">
        <f>HYPERLINK("https://twitter.com/vercasz/status/1070573130329088000","1070573130329088000")</f>
        <v>1070573130329088000</v>
      </c>
      <c r="F1016" s="16" t="s">
        <v>3733</v>
      </c>
      <c r="G1016" s="11"/>
      <c r="H1016" s="11"/>
      <c r="I1016" s="12">
        <v>0</v>
      </c>
      <c r="J1016" s="12">
        <v>1</v>
      </c>
      <c r="K1016" s="13" t="str">
        <f>HYPERLINK("http://twitter.com","Twitter Web Client")</f>
        <v>Twitter Web Client</v>
      </c>
      <c r="L1016" s="12">
        <v>2464</v>
      </c>
      <c r="M1016" s="12">
        <v>368</v>
      </c>
      <c r="N1016" s="12">
        <v>73</v>
      </c>
      <c r="O1016" s="14"/>
      <c r="P1016" s="6">
        <v>40616.849270833336</v>
      </c>
      <c r="Q1016" s="15" t="s">
        <v>612</v>
      </c>
      <c r="R1016" s="17" t="s">
        <v>3734</v>
      </c>
      <c r="S1016" s="11"/>
      <c r="T1016" s="11"/>
      <c r="U1016" s="10" t="str">
        <f>HYPERLINK("https://pbs.twimg.com/profile_images/667472084751265792/vTtvmBLa.jpg","View")</f>
        <v>View</v>
      </c>
    </row>
    <row r="1017" spans="1:21" ht="71.400000000000006">
      <c r="A1017" s="6">
        <v>43440.331435185188</v>
      </c>
      <c r="B1017" s="7" t="str">
        <f>HYPERLINK("https://twitter.com/marquezsergio09","@marquezsergio09")</f>
        <v>@marquezsergio09</v>
      </c>
      <c r="C1017" s="8" t="s">
        <v>3717</v>
      </c>
      <c r="D1017" s="9" t="s">
        <v>3735</v>
      </c>
      <c r="E1017" s="10" t="str">
        <f>HYPERLINK("https://twitter.com/marquezsergio09/status/1070572865228017664","1070572865228017664")</f>
        <v>1070572865228017664</v>
      </c>
      <c r="F1017" s="15" t="s">
        <v>3736</v>
      </c>
      <c r="G1017" s="16" t="s">
        <v>3737</v>
      </c>
      <c r="H1017" s="11"/>
      <c r="I1017" s="12">
        <v>1</v>
      </c>
      <c r="J1017" s="12">
        <v>1</v>
      </c>
      <c r="K1017" s="13" t="str">
        <f t="shared" ref="K1017:K1023" si="236">HYPERLINK("http://twitter.com/download/android","Twitter for Android")</f>
        <v>Twitter for Android</v>
      </c>
      <c r="L1017" s="12">
        <v>509</v>
      </c>
      <c r="M1017" s="12">
        <v>1013</v>
      </c>
      <c r="N1017" s="12">
        <v>0</v>
      </c>
      <c r="O1017" s="14"/>
      <c r="P1017" s="6">
        <v>42740.647418981476</v>
      </c>
      <c r="Q1017" s="15" t="s">
        <v>2412</v>
      </c>
      <c r="R1017" s="17" t="s">
        <v>3719</v>
      </c>
      <c r="S1017" s="11"/>
      <c r="T1017" s="11"/>
      <c r="U1017" s="10" t="str">
        <f>HYPERLINK("https://pbs.twimg.com/profile_images/1063280678782058497/HVuBkRi2.jpg","View")</f>
        <v>View</v>
      </c>
    </row>
    <row r="1018" spans="1:21" ht="51">
      <c r="A1018" s="6">
        <v>43440.331284722226</v>
      </c>
      <c r="B1018" s="7" t="str">
        <f>HYPERLINK("https://twitter.com/Soy_El_American","@Soy_El_American")</f>
        <v>@Soy_El_American</v>
      </c>
      <c r="C1018" s="8" t="s">
        <v>3738</v>
      </c>
      <c r="D1018" s="9" t="s">
        <v>3739</v>
      </c>
      <c r="E1018" s="10" t="str">
        <f>HYPERLINK("https://twitter.com/Soy_El_American/status/1070572811842932736","1070572811842932736")</f>
        <v>1070572811842932736</v>
      </c>
      <c r="F1018" s="11"/>
      <c r="G1018" s="16" t="s">
        <v>3740</v>
      </c>
      <c r="H1018" s="11"/>
      <c r="I1018" s="12">
        <v>0</v>
      </c>
      <c r="J1018" s="12">
        <v>0</v>
      </c>
      <c r="K1018" s="13" t="str">
        <f t="shared" si="236"/>
        <v>Twitter for Android</v>
      </c>
      <c r="L1018" s="12">
        <v>190</v>
      </c>
      <c r="M1018" s="12">
        <v>733</v>
      </c>
      <c r="N1018" s="12">
        <v>1</v>
      </c>
      <c r="O1018" s="14"/>
      <c r="P1018" s="6">
        <v>43184.757870370369</v>
      </c>
      <c r="Q1018" s="15" t="s">
        <v>3741</v>
      </c>
      <c r="R1018" s="17" t="s">
        <v>3742</v>
      </c>
      <c r="S1018" s="11"/>
      <c r="T1018" s="11"/>
      <c r="U1018" s="10" t="str">
        <f>HYPERLINK("https://pbs.twimg.com/profile_images/977941705117851650/tlTVn3Dg.jpg","View")</f>
        <v>View</v>
      </c>
    </row>
    <row r="1019" spans="1:21" ht="51">
      <c r="A1019" s="6">
        <v>43440.330312499995</v>
      </c>
      <c r="B1019" s="7" t="str">
        <f>HYPERLINK("https://twitter.com/Yaglind","@Yaglind")</f>
        <v>@Yaglind</v>
      </c>
      <c r="C1019" s="8" t="s">
        <v>3743</v>
      </c>
      <c r="D1019" s="9" t="s">
        <v>3744</v>
      </c>
      <c r="E1019" s="10" t="str">
        <f>HYPERLINK("https://twitter.com/Yaglind/status/1070572462188957697","1070572462188957697")</f>
        <v>1070572462188957697</v>
      </c>
      <c r="F1019" s="11"/>
      <c r="G1019" s="11"/>
      <c r="H1019" s="11"/>
      <c r="I1019" s="12">
        <v>0</v>
      </c>
      <c r="J1019" s="12">
        <v>0</v>
      </c>
      <c r="K1019" s="13" t="str">
        <f t="shared" si="236"/>
        <v>Twitter for Android</v>
      </c>
      <c r="L1019" s="12">
        <v>18</v>
      </c>
      <c r="M1019" s="12">
        <v>132</v>
      </c>
      <c r="N1019" s="12">
        <v>0</v>
      </c>
      <c r="O1019" s="14"/>
      <c r="P1019" s="6">
        <v>43394.676250000004</v>
      </c>
      <c r="Q1019" s="15" t="s">
        <v>986</v>
      </c>
      <c r="R1019" s="17" t="s">
        <v>3745</v>
      </c>
      <c r="S1019" s="11"/>
      <c r="T1019" s="11"/>
      <c r="U1019" s="10" t="str">
        <f>HYPERLINK("https://pbs.twimg.com/profile_images/1054015071557509121/stpstynE.jpg","View")</f>
        <v>View</v>
      </c>
    </row>
    <row r="1020" spans="1:21" ht="30.6">
      <c r="A1020" s="6">
        <v>43440.329317129625</v>
      </c>
      <c r="B1020" s="7" t="str">
        <f>HYPERLINK("https://twitter.com/Josema_vox_","@Josema_vox_")</f>
        <v>@Josema_vox_</v>
      </c>
      <c r="C1020" s="8" t="s">
        <v>3626</v>
      </c>
      <c r="D1020" s="9" t="s">
        <v>3746</v>
      </c>
      <c r="E1020" s="10" t="str">
        <f>HYPERLINK("https://twitter.com/Josema_vox_/status/1070572101051006976","1070572101051006976")</f>
        <v>1070572101051006976</v>
      </c>
      <c r="F1020" s="11"/>
      <c r="G1020" s="16" t="s">
        <v>3747</v>
      </c>
      <c r="H1020" s="11"/>
      <c r="I1020" s="12">
        <v>1</v>
      </c>
      <c r="J1020" s="12">
        <v>0</v>
      </c>
      <c r="K1020" s="13" t="str">
        <f t="shared" si="236"/>
        <v>Twitter for Android</v>
      </c>
      <c r="L1020" s="12">
        <v>751</v>
      </c>
      <c r="M1020" s="12">
        <v>1061</v>
      </c>
      <c r="N1020" s="12">
        <v>2</v>
      </c>
      <c r="O1020" s="14"/>
      <c r="P1020" s="6">
        <v>43381.612210648149</v>
      </c>
      <c r="Q1020" s="15" t="s">
        <v>3628</v>
      </c>
      <c r="R1020" s="17" t="s">
        <v>3629</v>
      </c>
      <c r="S1020" s="11"/>
      <c r="T1020" s="11"/>
      <c r="U1020" s="10" t="str">
        <f>HYPERLINK("https://pbs.twimg.com/profile_images/1069628964707213318/T0X7wgoR.jpg","View")</f>
        <v>View</v>
      </c>
    </row>
    <row r="1021" spans="1:21" ht="51">
      <c r="A1021" s="6">
        <v>43440.328576388885</v>
      </c>
      <c r="B1021" s="7" t="str">
        <f>HYPERLINK("https://twitter.com/UlisesGamez10","@UlisesGamez10")</f>
        <v>@UlisesGamez10</v>
      </c>
      <c r="C1021" s="8" t="s">
        <v>233</v>
      </c>
      <c r="D1021" s="9" t="s">
        <v>3748</v>
      </c>
      <c r="E1021" s="10" t="str">
        <f>HYPERLINK("https://twitter.com/UlisesGamez10/status/1070571830933622784","1070571830933622784")</f>
        <v>1070571830933622784</v>
      </c>
      <c r="F1021" s="11"/>
      <c r="G1021" s="11"/>
      <c r="H1021" s="11"/>
      <c r="I1021" s="12">
        <v>0</v>
      </c>
      <c r="J1021" s="12">
        <v>0</v>
      </c>
      <c r="K1021" s="13" t="str">
        <f t="shared" si="236"/>
        <v>Twitter for Android</v>
      </c>
      <c r="L1021" s="12">
        <v>1184</v>
      </c>
      <c r="M1021" s="12">
        <v>5002</v>
      </c>
      <c r="N1021" s="12">
        <v>0</v>
      </c>
      <c r="O1021" s="14"/>
      <c r="P1021" s="6">
        <v>43190.59783564815</v>
      </c>
      <c r="Q1021" s="15" t="s">
        <v>236</v>
      </c>
      <c r="R1021" s="17" t="s">
        <v>237</v>
      </c>
      <c r="S1021" s="11"/>
      <c r="T1021" s="11"/>
      <c r="U1021" s="10" t="str">
        <f>HYPERLINK("https://pbs.twimg.com/profile_images/1068881444196499456/MCgxp2WR.jpg","View")</f>
        <v>View</v>
      </c>
    </row>
    <row r="1022" spans="1:21" ht="20.399999999999999">
      <c r="A1022" s="6">
        <v>43440.32712962963</v>
      </c>
      <c r="B1022" s="7" t="str">
        <f>HYPERLINK("https://twitter.com/periodistadigit","@periodistadigit")</f>
        <v>@periodistadigit</v>
      </c>
      <c r="C1022" s="8" t="s">
        <v>1181</v>
      </c>
      <c r="D1022" s="9" t="s">
        <v>3749</v>
      </c>
      <c r="E1022" s="10" t="str">
        <f>HYPERLINK("https://twitter.com/periodistadigit/status/1070571307773952000","1070571307773952000")</f>
        <v>1070571307773952000</v>
      </c>
      <c r="F1022" s="16" t="s">
        <v>3750</v>
      </c>
      <c r="G1022" s="11"/>
      <c r="H1022" s="11"/>
      <c r="I1022" s="12">
        <v>8</v>
      </c>
      <c r="J1022" s="12">
        <v>8</v>
      </c>
      <c r="K1022" s="13" t="str">
        <f t="shared" si="236"/>
        <v>Twitter for Android</v>
      </c>
      <c r="L1022" s="12">
        <v>56221</v>
      </c>
      <c r="M1022" s="12">
        <v>3786</v>
      </c>
      <c r="N1022" s="12">
        <v>1472</v>
      </c>
      <c r="O1022" s="23" t="s">
        <v>89</v>
      </c>
      <c r="P1022" s="6">
        <v>40084.916296296295</v>
      </c>
      <c r="Q1022" s="15" t="s">
        <v>612</v>
      </c>
      <c r="R1022" s="17" t="s">
        <v>1183</v>
      </c>
      <c r="S1022" s="16" t="s">
        <v>1184</v>
      </c>
      <c r="T1022" s="11"/>
      <c r="U1022" s="10" t="str">
        <f>HYPERLINK("https://pbs.twimg.com/profile_images/1913331873/periodista-digital.jpg","View")</f>
        <v>View</v>
      </c>
    </row>
    <row r="1023" spans="1:21" ht="61.2">
      <c r="A1023" s="6">
        <v>43440.320509259254</v>
      </c>
      <c r="B1023" s="7" t="str">
        <f>HYPERLINK("https://twitter.com/psolidaridad","@psolidaridad")</f>
        <v>@psolidaridad</v>
      </c>
      <c r="C1023" s="8" t="s">
        <v>159</v>
      </c>
      <c r="D1023" s="9" t="s">
        <v>3751</v>
      </c>
      <c r="E1023" s="10" t="str">
        <f>HYPERLINK("https://twitter.com/psolidaridad/status/1070568908485210112","1070568908485210112")</f>
        <v>1070568908485210112</v>
      </c>
      <c r="F1023" s="16" t="s">
        <v>3752</v>
      </c>
      <c r="G1023" s="11"/>
      <c r="H1023" s="11"/>
      <c r="I1023" s="12">
        <v>0</v>
      </c>
      <c r="J1023" s="12">
        <v>1</v>
      </c>
      <c r="K1023" s="13" t="str">
        <f t="shared" si="236"/>
        <v>Twitter for Android</v>
      </c>
      <c r="L1023" s="12">
        <v>1623</v>
      </c>
      <c r="M1023" s="12">
        <v>4841</v>
      </c>
      <c r="N1023" s="12">
        <v>1</v>
      </c>
      <c r="O1023" s="14"/>
      <c r="P1023" s="6">
        <v>41803.502372685187</v>
      </c>
      <c r="Q1023" s="11"/>
      <c r="R1023" s="17" t="s">
        <v>162</v>
      </c>
      <c r="S1023" s="11"/>
      <c r="T1023" s="11"/>
      <c r="U1023" s="10" t="str">
        <f>HYPERLINK("https://pbs.twimg.com/profile_images/1030394358397317120/oQ0F2vnz.jpg","View")</f>
        <v>View</v>
      </c>
    </row>
    <row r="1024" spans="1:21" ht="30.6">
      <c r="A1024" s="6">
        <v>43440.316840277781</v>
      </c>
      <c r="B1024" s="7" t="str">
        <f>HYPERLINK("https://twitter.com/Maggik1471","@Maggik1471")</f>
        <v>@Maggik1471</v>
      </c>
      <c r="C1024" s="8" t="s">
        <v>2506</v>
      </c>
      <c r="D1024" s="9" t="s">
        <v>3753</v>
      </c>
      <c r="E1024" s="10" t="str">
        <f>HYPERLINK("https://twitter.com/Maggik1471/status/1070567579436138496","1070567579436138496")</f>
        <v>1070567579436138496</v>
      </c>
      <c r="F1024" s="16" t="s">
        <v>3754</v>
      </c>
      <c r="G1024" s="16" t="s">
        <v>3755</v>
      </c>
      <c r="H1024" s="11"/>
      <c r="I1024" s="12">
        <v>0</v>
      </c>
      <c r="J1024" s="12">
        <v>2</v>
      </c>
      <c r="K1024" s="13" t="str">
        <f t="shared" ref="K1024:K1026" si="237">HYPERLINK("http://twitter.com/download/iphone","Twitter for iPhone")</f>
        <v>Twitter for iPhone</v>
      </c>
      <c r="L1024" s="12">
        <v>39</v>
      </c>
      <c r="M1024" s="12">
        <v>315</v>
      </c>
      <c r="N1024" s="12">
        <v>1</v>
      </c>
      <c r="O1024" s="14"/>
      <c r="P1024" s="6">
        <v>42586.383634259255</v>
      </c>
      <c r="Q1024" s="15" t="s">
        <v>2510</v>
      </c>
      <c r="R1024" s="18"/>
      <c r="S1024" s="11"/>
      <c r="T1024" s="11"/>
      <c r="U1024" s="10" t="str">
        <f>HYPERLINK("https://pbs.twimg.com/profile_images/905382094754414592/fUF2Ge0k.jpg","View")</f>
        <v>View</v>
      </c>
    </row>
    <row r="1025" spans="1:21" ht="81.599999999999994">
      <c r="A1025" s="6">
        <v>43440.313796296294</v>
      </c>
      <c r="B1025" s="7" t="str">
        <f t="shared" ref="B1025:B1026" si="238">HYPERLINK("https://twitter.com/Evafera","@Evafera")</f>
        <v>@Evafera</v>
      </c>
      <c r="C1025" s="8" t="s">
        <v>3756</v>
      </c>
      <c r="D1025" s="9" t="s">
        <v>3757</v>
      </c>
      <c r="E1025" s="10" t="str">
        <f>HYPERLINK("https://twitter.com/Evafera/status/1070566473968558082","1070566473968558082")</f>
        <v>1070566473968558082</v>
      </c>
      <c r="F1025" s="15" t="s">
        <v>3758</v>
      </c>
      <c r="G1025" s="11"/>
      <c r="H1025" s="11"/>
      <c r="I1025" s="12">
        <v>1</v>
      </c>
      <c r="J1025" s="12">
        <v>1</v>
      </c>
      <c r="K1025" s="13" t="str">
        <f t="shared" si="237"/>
        <v>Twitter for iPhone</v>
      </c>
      <c r="L1025" s="12">
        <v>41</v>
      </c>
      <c r="M1025" s="12">
        <v>52</v>
      </c>
      <c r="N1025" s="12">
        <v>0</v>
      </c>
      <c r="O1025" s="14"/>
      <c r="P1025" s="6">
        <v>40503.946134259255</v>
      </c>
      <c r="Q1025" s="15" t="s">
        <v>1359</v>
      </c>
      <c r="R1025" s="18"/>
      <c r="S1025" s="11"/>
      <c r="T1025" s="11"/>
      <c r="U1025" s="10" t="str">
        <f t="shared" ref="U1025:U1026" si="239">HYPERLINK("https://pbs.twimg.com/profile_images/886697516720435200/gbnXV4Td.jpg","View")</f>
        <v>View</v>
      </c>
    </row>
    <row r="1026" spans="1:21" ht="71.400000000000006">
      <c r="A1026" s="6">
        <v>43440.31150462963</v>
      </c>
      <c r="B1026" s="7" t="str">
        <f t="shared" si="238"/>
        <v>@Evafera</v>
      </c>
      <c r="C1026" s="8" t="s">
        <v>3756</v>
      </c>
      <c r="D1026" s="9" t="s">
        <v>3759</v>
      </c>
      <c r="E1026" s="10" t="str">
        <f>HYPERLINK("https://twitter.com/Evafera/status/1070565644150681600","1070565644150681600")</f>
        <v>1070565644150681600</v>
      </c>
      <c r="F1026" s="15" t="s">
        <v>3760</v>
      </c>
      <c r="G1026" s="16" t="s">
        <v>3761</v>
      </c>
      <c r="H1026" s="11"/>
      <c r="I1026" s="12">
        <v>0</v>
      </c>
      <c r="J1026" s="12">
        <v>0</v>
      </c>
      <c r="K1026" s="13" t="str">
        <f t="shared" si="237"/>
        <v>Twitter for iPhone</v>
      </c>
      <c r="L1026" s="12">
        <v>41</v>
      </c>
      <c r="M1026" s="12">
        <v>52</v>
      </c>
      <c r="N1026" s="12">
        <v>0</v>
      </c>
      <c r="O1026" s="14"/>
      <c r="P1026" s="6">
        <v>40503.946134259255</v>
      </c>
      <c r="Q1026" s="15" t="s">
        <v>1359</v>
      </c>
      <c r="R1026" s="18"/>
      <c r="S1026" s="11"/>
      <c r="T1026" s="11"/>
      <c r="U1026" s="10" t="str">
        <f t="shared" si="239"/>
        <v>View</v>
      </c>
    </row>
    <row r="1027" spans="1:21" ht="51">
      <c r="A1027" s="6">
        <v>43440.306539351848</v>
      </c>
      <c r="B1027" s="7" t="str">
        <f t="shared" ref="B1027:B1028" si="240">HYPERLINK("https://twitter.com/marquezsergio09","@marquezsergio09")</f>
        <v>@marquezsergio09</v>
      </c>
      <c r="C1027" s="8" t="s">
        <v>3717</v>
      </c>
      <c r="D1027" s="9" t="s">
        <v>3762</v>
      </c>
      <c r="E1027" s="10" t="str">
        <f>HYPERLINK("https://twitter.com/marquezsergio09/status/1070563843603132416","1070563843603132416")</f>
        <v>1070563843603132416</v>
      </c>
      <c r="F1027" s="16" t="s">
        <v>3763</v>
      </c>
      <c r="G1027" s="11"/>
      <c r="H1027" s="11"/>
      <c r="I1027" s="12">
        <v>1</v>
      </c>
      <c r="J1027" s="12">
        <v>2</v>
      </c>
      <c r="K1027" s="13" t="str">
        <f t="shared" ref="K1027:K1031" si="241">HYPERLINK("http://twitter.com/download/android","Twitter for Android")</f>
        <v>Twitter for Android</v>
      </c>
      <c r="L1027" s="12">
        <v>509</v>
      </c>
      <c r="M1027" s="12">
        <v>1013</v>
      </c>
      <c r="N1027" s="12">
        <v>0</v>
      </c>
      <c r="O1027" s="14"/>
      <c r="P1027" s="6">
        <v>42740.647418981476</v>
      </c>
      <c r="Q1027" s="15" t="s">
        <v>2412</v>
      </c>
      <c r="R1027" s="17" t="s">
        <v>3719</v>
      </c>
      <c r="S1027" s="11"/>
      <c r="T1027" s="11"/>
      <c r="U1027" s="10" t="str">
        <f t="shared" ref="U1027:U1028" si="242">HYPERLINK("https://pbs.twimg.com/profile_images/1063280678782058497/HVuBkRi2.jpg","View")</f>
        <v>View</v>
      </c>
    </row>
    <row r="1028" spans="1:21" ht="51">
      <c r="A1028" s="6">
        <v>43440.299189814818</v>
      </c>
      <c r="B1028" s="7" t="str">
        <f t="shared" si="240"/>
        <v>@marquezsergio09</v>
      </c>
      <c r="C1028" s="8" t="s">
        <v>3717</v>
      </c>
      <c r="D1028" s="9" t="s">
        <v>3764</v>
      </c>
      <c r="E1028" s="10" t="str">
        <f>HYPERLINK("https://twitter.com/marquezsergio09/status/1070561181553885191","1070561181553885191")</f>
        <v>1070561181553885191</v>
      </c>
      <c r="F1028" s="16" t="s">
        <v>3763</v>
      </c>
      <c r="G1028" s="11"/>
      <c r="H1028" s="11"/>
      <c r="I1028" s="12">
        <v>5</v>
      </c>
      <c r="J1028" s="12">
        <v>7</v>
      </c>
      <c r="K1028" s="13" t="str">
        <f t="shared" si="241"/>
        <v>Twitter for Android</v>
      </c>
      <c r="L1028" s="12">
        <v>509</v>
      </c>
      <c r="M1028" s="12">
        <v>1013</v>
      </c>
      <c r="N1028" s="12">
        <v>0</v>
      </c>
      <c r="O1028" s="14"/>
      <c r="P1028" s="6">
        <v>42740.647418981476</v>
      </c>
      <c r="Q1028" s="15" t="s">
        <v>2412</v>
      </c>
      <c r="R1028" s="17" t="s">
        <v>3719</v>
      </c>
      <c r="S1028" s="11"/>
      <c r="T1028" s="11"/>
      <c r="U1028" s="10" t="str">
        <f t="shared" si="242"/>
        <v>View</v>
      </c>
    </row>
    <row r="1029" spans="1:21" ht="40.799999999999997">
      <c r="A1029" s="6">
        <v>43440.284212962964</v>
      </c>
      <c r="B1029" s="7" t="str">
        <f>HYPERLINK("https://twitter.com/ana_urcelay","@ana_urcelay")</f>
        <v>@ana_urcelay</v>
      </c>
      <c r="C1029" s="8" t="s">
        <v>3765</v>
      </c>
      <c r="D1029" s="9" t="s">
        <v>3766</v>
      </c>
      <c r="E1029" s="10" t="str">
        <f>HYPERLINK("https://twitter.com/ana_urcelay/status/1070555753050722304","1070555753050722304")</f>
        <v>1070555753050722304</v>
      </c>
      <c r="F1029" s="16" t="s">
        <v>2006</v>
      </c>
      <c r="G1029" s="11"/>
      <c r="H1029" s="11"/>
      <c r="I1029" s="12">
        <v>47</v>
      </c>
      <c r="J1029" s="12">
        <v>66</v>
      </c>
      <c r="K1029" s="13" t="str">
        <f t="shared" si="241"/>
        <v>Twitter for Android</v>
      </c>
      <c r="L1029" s="12">
        <v>9145</v>
      </c>
      <c r="M1029" s="12">
        <v>10045</v>
      </c>
      <c r="N1029" s="12">
        <v>36</v>
      </c>
      <c r="O1029" s="14"/>
      <c r="P1029" s="6">
        <v>40991.38863425926</v>
      </c>
      <c r="Q1029" s="15" t="s">
        <v>3767</v>
      </c>
      <c r="R1029" s="17" t="s">
        <v>3768</v>
      </c>
      <c r="S1029" s="16" t="s">
        <v>3769</v>
      </c>
      <c r="T1029" s="11"/>
      <c r="U1029" s="10" t="str">
        <f>HYPERLINK("https://pbs.twimg.com/profile_images/577495643943366657/8YXo9v0b.jpeg","View")</f>
        <v>View</v>
      </c>
    </row>
    <row r="1030" spans="1:21" ht="30.6">
      <c r="A1030" s="6">
        <v>43440.273518518516</v>
      </c>
      <c r="B1030" s="7" t="str">
        <f t="shared" ref="B1030:B1031" si="243">HYPERLINK("https://twitter.com/marquezsergio09","@marquezsergio09")</f>
        <v>@marquezsergio09</v>
      </c>
      <c r="C1030" s="8" t="s">
        <v>3717</v>
      </c>
      <c r="D1030" s="9" t="s">
        <v>3770</v>
      </c>
      <c r="E1030" s="10" t="str">
        <f>HYPERLINK("https://twitter.com/marquezsergio09/status/1070551880315617280","1070551880315617280")</f>
        <v>1070551880315617280</v>
      </c>
      <c r="F1030" s="16" t="s">
        <v>2306</v>
      </c>
      <c r="G1030" s="11"/>
      <c r="H1030" s="11"/>
      <c r="I1030" s="12">
        <v>0</v>
      </c>
      <c r="J1030" s="12">
        <v>0</v>
      </c>
      <c r="K1030" s="13" t="str">
        <f t="shared" si="241"/>
        <v>Twitter for Android</v>
      </c>
      <c r="L1030" s="12">
        <v>509</v>
      </c>
      <c r="M1030" s="12">
        <v>1013</v>
      </c>
      <c r="N1030" s="12">
        <v>0</v>
      </c>
      <c r="O1030" s="14"/>
      <c r="P1030" s="6">
        <v>42740.647418981476</v>
      </c>
      <c r="Q1030" s="15" t="s">
        <v>2412</v>
      </c>
      <c r="R1030" s="17" t="s">
        <v>3719</v>
      </c>
      <c r="S1030" s="11"/>
      <c r="T1030" s="11"/>
      <c r="U1030" s="10" t="str">
        <f t="shared" ref="U1030:U1031" si="244">HYPERLINK("https://pbs.twimg.com/profile_images/1063280678782058497/HVuBkRi2.jpg","View")</f>
        <v>View</v>
      </c>
    </row>
    <row r="1031" spans="1:21" ht="40.799999999999997">
      <c r="A1031" s="6">
        <v>43440.272268518514</v>
      </c>
      <c r="B1031" s="7" t="str">
        <f t="shared" si="243"/>
        <v>@marquezsergio09</v>
      </c>
      <c r="C1031" s="8" t="s">
        <v>3717</v>
      </c>
      <c r="D1031" s="9" t="s">
        <v>3771</v>
      </c>
      <c r="E1031" s="10" t="str">
        <f>HYPERLINK("https://twitter.com/marquezsergio09/status/1070551426345115648","1070551426345115648")</f>
        <v>1070551426345115648</v>
      </c>
      <c r="F1031" s="16" t="s">
        <v>3772</v>
      </c>
      <c r="G1031" s="11"/>
      <c r="H1031" s="11"/>
      <c r="I1031" s="12">
        <v>0</v>
      </c>
      <c r="J1031" s="12">
        <v>0</v>
      </c>
      <c r="K1031" s="13" t="str">
        <f t="shared" si="241"/>
        <v>Twitter for Android</v>
      </c>
      <c r="L1031" s="12">
        <v>509</v>
      </c>
      <c r="M1031" s="12">
        <v>1013</v>
      </c>
      <c r="N1031" s="12">
        <v>0</v>
      </c>
      <c r="O1031" s="14"/>
      <c r="P1031" s="6">
        <v>42740.647418981476</v>
      </c>
      <c r="Q1031" s="15" t="s">
        <v>2412</v>
      </c>
      <c r="R1031" s="17" t="s">
        <v>3719</v>
      </c>
      <c r="S1031" s="11"/>
      <c r="T1031" s="11"/>
      <c r="U1031" s="10" t="str">
        <f t="shared" si="244"/>
        <v>View</v>
      </c>
    </row>
    <row r="1032" spans="1:21" ht="91.8">
      <c r="A1032" s="6">
        <v>43440.268842592588</v>
      </c>
      <c r="B1032" s="7" t="str">
        <f>HYPERLINK("https://twitter.com/kamc1462","@kamc1462")</f>
        <v>@kamc1462</v>
      </c>
      <c r="C1032" s="8" t="s">
        <v>3773</v>
      </c>
      <c r="D1032" s="9" t="s">
        <v>3774</v>
      </c>
      <c r="E1032" s="10" t="str">
        <f>HYPERLINK("https://twitter.com/kamc1462/status/1070550184101363712","1070550184101363712")</f>
        <v>1070550184101363712</v>
      </c>
      <c r="F1032" s="16" t="s">
        <v>3775</v>
      </c>
      <c r="G1032" s="16" t="s">
        <v>3776</v>
      </c>
      <c r="H1032" s="11"/>
      <c r="I1032" s="12">
        <v>0</v>
      </c>
      <c r="J1032" s="12">
        <v>0</v>
      </c>
      <c r="K1032" s="13" t="str">
        <f>HYPERLINK("http://twitter.com","Twitter Web Client")</f>
        <v>Twitter Web Client</v>
      </c>
      <c r="L1032" s="12">
        <v>2287</v>
      </c>
      <c r="M1032" s="12">
        <v>2268</v>
      </c>
      <c r="N1032" s="12">
        <v>24</v>
      </c>
      <c r="O1032" s="14"/>
      <c r="P1032" s="6">
        <v>40270.643321759257</v>
      </c>
      <c r="Q1032" s="15" t="s">
        <v>3777</v>
      </c>
      <c r="R1032" s="17" t="s">
        <v>3778</v>
      </c>
      <c r="S1032" s="16" t="s">
        <v>3779</v>
      </c>
      <c r="T1032" s="11"/>
      <c r="U1032" s="10" t="str">
        <f>HYPERLINK("https://pbs.twimg.com/profile_images/972547192522137600/tBsrS7jB.jpg","View")</f>
        <v>View</v>
      </c>
    </row>
    <row r="1033" spans="1:21" ht="40.799999999999997">
      <c r="A1033" s="6">
        <v>43440.251458333332</v>
      </c>
      <c r="B1033" s="7" t="str">
        <f>HYPERLINK("https://twitter.com/marquezsergio09","@marquezsergio09")</f>
        <v>@marquezsergio09</v>
      </c>
      <c r="C1033" s="8" t="s">
        <v>3717</v>
      </c>
      <c r="D1033" s="9" t="s">
        <v>3780</v>
      </c>
      <c r="E1033" s="10" t="str">
        <f>HYPERLINK("https://twitter.com/marquezsergio09/status/1070543885074604032","1070543885074604032")</f>
        <v>1070543885074604032</v>
      </c>
      <c r="F1033" s="11"/>
      <c r="G1033" s="11"/>
      <c r="H1033" s="11"/>
      <c r="I1033" s="12">
        <v>4</v>
      </c>
      <c r="J1033" s="12">
        <v>9</v>
      </c>
      <c r="K1033" s="13" t="str">
        <f>HYPERLINK("http://twitter.com/download/android","Twitter for Android")</f>
        <v>Twitter for Android</v>
      </c>
      <c r="L1033" s="12">
        <v>509</v>
      </c>
      <c r="M1033" s="12">
        <v>1013</v>
      </c>
      <c r="N1033" s="12">
        <v>0</v>
      </c>
      <c r="O1033" s="14"/>
      <c r="P1033" s="6">
        <v>42740.647418981476</v>
      </c>
      <c r="Q1033" s="15" t="s">
        <v>2412</v>
      </c>
      <c r="R1033" s="17" t="s">
        <v>3719</v>
      </c>
      <c r="S1033" s="11"/>
      <c r="T1033" s="11"/>
      <c r="U1033" s="10" t="str">
        <f>HYPERLINK("https://pbs.twimg.com/profile_images/1063280678782058497/HVuBkRi2.jpg","View")</f>
        <v>View</v>
      </c>
    </row>
    <row r="1034" spans="1:21" ht="51">
      <c r="A1034" s="6">
        <v>43440.251388888893</v>
      </c>
      <c r="B1034" s="7" t="str">
        <f t="shared" ref="B1034:B1035" si="245">HYPERLINK("https://twitter.com/bitMomentum","@bitMomentum")</f>
        <v>@bitMomentum</v>
      </c>
      <c r="C1034" s="8" t="s">
        <v>82</v>
      </c>
      <c r="D1034" s="9" t="s">
        <v>3781</v>
      </c>
      <c r="E1034" s="10" t="str">
        <f>HYPERLINK("https://twitter.com/bitMomentum/status/1070543857937498112","1070543857937498112")</f>
        <v>1070543857937498112</v>
      </c>
      <c r="F1034" s="11"/>
      <c r="G1034" s="11"/>
      <c r="H1034" s="11"/>
      <c r="I1034" s="12">
        <v>0</v>
      </c>
      <c r="J1034" s="12">
        <v>0</v>
      </c>
      <c r="K1034" s="13" t="str">
        <f t="shared" ref="K1034:K1035" si="246">HYPERLINK("http://www.bitmomentum.com","bitMomentum Bot")</f>
        <v>bitMomentum Bot</v>
      </c>
      <c r="L1034" s="12">
        <v>10253</v>
      </c>
      <c r="M1034" s="12">
        <v>1059</v>
      </c>
      <c r="N1034" s="12">
        <v>263</v>
      </c>
      <c r="O1034" s="14"/>
      <c r="P1034" s="6">
        <v>41608.667511574073</v>
      </c>
      <c r="Q1034" s="11"/>
      <c r="R1034" s="17" t="s">
        <v>84</v>
      </c>
      <c r="S1034" s="16" t="s">
        <v>85</v>
      </c>
      <c r="T1034" s="11"/>
      <c r="U1034" s="10" t="str">
        <f t="shared" ref="U1034:U1035" si="247">HYPERLINK("https://pbs.twimg.com/profile_images/378800000862185241/20ij2H3u.png","View")</f>
        <v>View</v>
      </c>
    </row>
    <row r="1035" spans="1:21" ht="51">
      <c r="A1035" s="6">
        <v>43440.250694444447</v>
      </c>
      <c r="B1035" s="7" t="str">
        <f t="shared" si="245"/>
        <v>@bitMomentum</v>
      </c>
      <c r="C1035" s="8" t="s">
        <v>82</v>
      </c>
      <c r="D1035" s="9" t="s">
        <v>3782</v>
      </c>
      <c r="E1035" s="10" t="str">
        <f>HYPERLINK("https://twitter.com/bitMomentum/status/1070543606413492225","1070543606413492225")</f>
        <v>1070543606413492225</v>
      </c>
      <c r="F1035" s="11"/>
      <c r="G1035" s="11"/>
      <c r="H1035" s="11"/>
      <c r="I1035" s="12">
        <v>2</v>
      </c>
      <c r="J1035" s="12">
        <v>2</v>
      </c>
      <c r="K1035" s="13" t="str">
        <f t="shared" si="246"/>
        <v>bitMomentum Bot</v>
      </c>
      <c r="L1035" s="12">
        <v>10253</v>
      </c>
      <c r="M1035" s="12">
        <v>1059</v>
      </c>
      <c r="N1035" s="12">
        <v>263</v>
      </c>
      <c r="O1035" s="14"/>
      <c r="P1035" s="6">
        <v>41608.667511574073</v>
      </c>
      <c r="Q1035" s="11"/>
      <c r="R1035" s="17" t="s">
        <v>84</v>
      </c>
      <c r="S1035" s="16" t="s">
        <v>85</v>
      </c>
      <c r="T1035" s="11"/>
      <c r="U1035" s="10" t="str">
        <f t="shared" si="247"/>
        <v>View</v>
      </c>
    </row>
    <row r="1036" spans="1:21" ht="61.2">
      <c r="A1036" s="6">
        <v>43440.24800925926</v>
      </c>
      <c r="B1036" s="7" t="str">
        <f>HYPERLINK("https://twitter.com/Abiperez1313","@Abiperez1313")</f>
        <v>@Abiperez1313</v>
      </c>
      <c r="C1036" s="8" t="s">
        <v>3783</v>
      </c>
      <c r="D1036" s="9" t="s">
        <v>3784</v>
      </c>
      <c r="E1036" s="10" t="str">
        <f>HYPERLINK("https://twitter.com/Abiperez1313/status/1070542632865157120","1070542632865157120")</f>
        <v>1070542632865157120</v>
      </c>
      <c r="F1036" s="11"/>
      <c r="G1036" s="16" t="s">
        <v>3785</v>
      </c>
      <c r="H1036" s="11"/>
      <c r="I1036" s="12">
        <v>0</v>
      </c>
      <c r="J1036" s="12">
        <v>0</v>
      </c>
      <c r="K1036" s="13" t="str">
        <f>HYPERLINK("http://twitter.com/download/iphone","Twitter for iPhone")</f>
        <v>Twitter for iPhone</v>
      </c>
      <c r="L1036" s="12">
        <v>6</v>
      </c>
      <c r="M1036" s="12">
        <v>74</v>
      </c>
      <c r="N1036" s="12">
        <v>0</v>
      </c>
      <c r="O1036" s="14"/>
      <c r="P1036" s="6">
        <v>43198.999930555554</v>
      </c>
      <c r="Q1036" s="15" t="s">
        <v>157</v>
      </c>
      <c r="R1036" s="17" t="s">
        <v>3786</v>
      </c>
      <c r="S1036" s="11"/>
      <c r="T1036" s="11"/>
      <c r="U1036" s="10" t="str">
        <f>HYPERLINK("https://pbs.twimg.com/profile_images/983109882743328769/PG3vpBuZ.jpg","View")</f>
        <v>View</v>
      </c>
    </row>
    <row r="1037" spans="1:21" ht="40.799999999999997">
      <c r="A1037" s="6">
        <v>43440.242951388893</v>
      </c>
      <c r="B1037" s="7" t="str">
        <f>HYPERLINK("https://twitter.com/miguel_tamames","@miguel_tamames")</f>
        <v>@miguel_tamames</v>
      </c>
      <c r="C1037" s="8" t="s">
        <v>3787</v>
      </c>
      <c r="D1037" s="9" t="s">
        <v>3788</v>
      </c>
      <c r="E1037" s="10" t="str">
        <f>HYPERLINK("https://twitter.com/miguel_tamames/status/1070540801917235200","1070540801917235200")</f>
        <v>1070540801917235200</v>
      </c>
      <c r="F1037" s="16" t="s">
        <v>1568</v>
      </c>
      <c r="G1037" s="11"/>
      <c r="H1037" s="11"/>
      <c r="I1037" s="12">
        <v>0</v>
      </c>
      <c r="J1037" s="12">
        <v>0</v>
      </c>
      <c r="K1037" s="13" t="str">
        <f>HYPERLINK("http://twitter.com/download/android","Twitter for Android")</f>
        <v>Twitter for Android</v>
      </c>
      <c r="L1037" s="12">
        <v>291</v>
      </c>
      <c r="M1037" s="12">
        <v>1427</v>
      </c>
      <c r="N1037" s="12">
        <v>1</v>
      </c>
      <c r="O1037" s="14"/>
      <c r="P1037" s="6">
        <v>42235.144155092596</v>
      </c>
      <c r="Q1037" s="15" t="s">
        <v>3789</v>
      </c>
      <c r="R1037" s="17" t="s">
        <v>3790</v>
      </c>
      <c r="S1037" s="11"/>
      <c r="T1037" s="11"/>
      <c r="U1037" s="10" t="str">
        <f>HYPERLINK("https://pbs.twimg.com/profile_images/1030463868118683648/QxgHXlzA.jpg","View")</f>
        <v>View</v>
      </c>
    </row>
    <row r="1038" spans="1:21" ht="51">
      <c r="A1038" s="6">
        <v>43440.228437500002</v>
      </c>
      <c r="B1038" s="7" t="str">
        <f>HYPERLINK("https://twitter.com/Michelle20205","@Michelle20205")</f>
        <v>@Michelle20205</v>
      </c>
      <c r="C1038" s="8" t="s">
        <v>3791</v>
      </c>
      <c r="D1038" s="9" t="s">
        <v>3792</v>
      </c>
      <c r="E1038" s="10" t="str">
        <f>HYPERLINK("https://twitter.com/Michelle20205/status/1070535541555429376","1070535541555429376")</f>
        <v>1070535541555429376</v>
      </c>
      <c r="F1038" s="11"/>
      <c r="G1038" s="16" t="s">
        <v>3793</v>
      </c>
      <c r="H1038" s="11"/>
      <c r="I1038" s="12">
        <v>0</v>
      </c>
      <c r="J1038" s="12">
        <v>0</v>
      </c>
      <c r="K1038" s="13" t="str">
        <f>HYPERLINK("http://twitter.com/download/iphone","Twitter for iPhone")</f>
        <v>Twitter for iPhone</v>
      </c>
      <c r="L1038" s="12">
        <v>34</v>
      </c>
      <c r="M1038" s="12">
        <v>129</v>
      </c>
      <c r="N1038" s="12">
        <v>1</v>
      </c>
      <c r="O1038" s="14"/>
      <c r="P1038" s="6">
        <v>42686.301840277782</v>
      </c>
      <c r="Q1038" s="15" t="s">
        <v>3794</v>
      </c>
      <c r="R1038" s="17" t="s">
        <v>3795</v>
      </c>
      <c r="S1038" s="11"/>
      <c r="T1038" s="11"/>
      <c r="U1038" s="10" t="str">
        <f>HYPERLINK("https://pbs.twimg.com/profile_images/1052315693851570178/l4DBkYDM.jpg","View")</f>
        <v>View</v>
      </c>
    </row>
    <row r="1039" spans="1:21" ht="51">
      <c r="A1039" s="6">
        <v>43440.209722222222</v>
      </c>
      <c r="B1039" s="7" t="str">
        <f t="shared" ref="B1039:B1040" si="248">HYPERLINK("https://twitter.com/bitMomentum","@bitMomentum")</f>
        <v>@bitMomentum</v>
      </c>
      <c r="C1039" s="8" t="s">
        <v>82</v>
      </c>
      <c r="D1039" s="9" t="s">
        <v>3796</v>
      </c>
      <c r="E1039" s="10" t="str">
        <f>HYPERLINK("https://twitter.com/bitMomentum/status/1070528758598258688","1070528758598258688")</f>
        <v>1070528758598258688</v>
      </c>
      <c r="F1039" s="11"/>
      <c r="G1039" s="11"/>
      <c r="H1039" s="11"/>
      <c r="I1039" s="12">
        <v>0</v>
      </c>
      <c r="J1039" s="12">
        <v>0</v>
      </c>
      <c r="K1039" s="13" t="str">
        <f t="shared" ref="K1039:K1040" si="249">HYPERLINK("http://www.bitmomentum.com","bitMomentum Bot")</f>
        <v>bitMomentum Bot</v>
      </c>
      <c r="L1039" s="12">
        <v>10253</v>
      </c>
      <c r="M1039" s="12">
        <v>1059</v>
      </c>
      <c r="N1039" s="12">
        <v>263</v>
      </c>
      <c r="O1039" s="14"/>
      <c r="P1039" s="6">
        <v>41608.667511574073</v>
      </c>
      <c r="Q1039" s="11"/>
      <c r="R1039" s="17" t="s">
        <v>84</v>
      </c>
      <c r="S1039" s="16" t="s">
        <v>85</v>
      </c>
      <c r="T1039" s="11"/>
      <c r="U1039" s="10" t="str">
        <f t="shared" ref="U1039:U1040" si="250">HYPERLINK("https://pbs.twimg.com/profile_images/378800000862185241/20ij2H3u.png","View")</f>
        <v>View</v>
      </c>
    </row>
    <row r="1040" spans="1:21" ht="51">
      <c r="A1040" s="6">
        <v>43440.209027777775</v>
      </c>
      <c r="B1040" s="7" t="str">
        <f t="shared" si="248"/>
        <v>@bitMomentum</v>
      </c>
      <c r="C1040" s="8" t="s">
        <v>82</v>
      </c>
      <c r="D1040" s="9" t="s">
        <v>3797</v>
      </c>
      <c r="E1040" s="10" t="str">
        <f>HYPERLINK("https://twitter.com/bitMomentum/status/1070528506935828480","1070528506935828480")</f>
        <v>1070528506935828480</v>
      </c>
      <c r="F1040" s="11"/>
      <c r="G1040" s="11"/>
      <c r="H1040" s="11"/>
      <c r="I1040" s="12">
        <v>0</v>
      </c>
      <c r="J1040" s="12">
        <v>0</v>
      </c>
      <c r="K1040" s="13" t="str">
        <f t="shared" si="249"/>
        <v>bitMomentum Bot</v>
      </c>
      <c r="L1040" s="12">
        <v>10253</v>
      </c>
      <c r="M1040" s="12">
        <v>1059</v>
      </c>
      <c r="N1040" s="12">
        <v>263</v>
      </c>
      <c r="O1040" s="14"/>
      <c r="P1040" s="6">
        <v>41608.667511574073</v>
      </c>
      <c r="Q1040" s="11"/>
      <c r="R1040" s="17" t="s">
        <v>84</v>
      </c>
      <c r="S1040" s="16" t="s">
        <v>85</v>
      </c>
      <c r="T1040" s="11"/>
      <c r="U1040" s="10" t="str">
        <f t="shared" si="250"/>
        <v>View</v>
      </c>
    </row>
    <row r="1041" spans="1:21" ht="40.799999999999997">
      <c r="A1041" s="6">
        <v>43440.207187499997</v>
      </c>
      <c r="B1041" s="7" t="str">
        <f>HYPERLINK("https://twitter.com/PPantolomeo","@PPantolomeo")</f>
        <v>@PPantolomeo</v>
      </c>
      <c r="C1041" s="8" t="s">
        <v>3798</v>
      </c>
      <c r="D1041" s="9" t="s">
        <v>3799</v>
      </c>
      <c r="E1041" s="10" t="str">
        <f>HYPERLINK("https://twitter.com/PPantolomeo/status/1070527843011047424","1070527843011047424")</f>
        <v>1070527843011047424</v>
      </c>
      <c r="F1041" s="11"/>
      <c r="G1041" s="11"/>
      <c r="H1041" s="11"/>
      <c r="I1041" s="12">
        <v>3</v>
      </c>
      <c r="J1041" s="12">
        <v>12</v>
      </c>
      <c r="K1041" s="13" t="str">
        <f>HYPERLINK("http://twitter.com","Twitter Web Client")</f>
        <v>Twitter Web Client</v>
      </c>
      <c r="L1041" s="12">
        <v>6984</v>
      </c>
      <c r="M1041" s="12">
        <v>1010</v>
      </c>
      <c r="N1041" s="12">
        <v>46</v>
      </c>
      <c r="O1041" s="14"/>
      <c r="P1041" s="6">
        <v>41068.871736111112</v>
      </c>
      <c r="Q1041" s="15" t="s">
        <v>3800</v>
      </c>
      <c r="R1041" s="17" t="s">
        <v>3801</v>
      </c>
      <c r="S1041" s="11"/>
      <c r="T1041" s="11"/>
      <c r="U1041" s="10" t="str">
        <f>HYPERLINK("https://pbs.twimg.com/profile_images/1055213519644311552/4BwV44Xh.jpg","View")</f>
        <v>View</v>
      </c>
    </row>
    <row r="1042" spans="1:21" ht="40.799999999999997">
      <c r="A1042" s="6">
        <v>43440.203240740739</v>
      </c>
      <c r="B1042" s="7" t="str">
        <f>HYPERLINK("https://twitter.com/toninote","@toninote")</f>
        <v>@toninote</v>
      </c>
      <c r="C1042" s="8" t="s">
        <v>3802</v>
      </c>
      <c r="D1042" s="9" t="s">
        <v>3803</v>
      </c>
      <c r="E1042" s="10" t="str">
        <f>HYPERLINK("https://twitter.com/toninote/status/1070526412090736640","1070526412090736640")</f>
        <v>1070526412090736640</v>
      </c>
      <c r="F1042" s="11"/>
      <c r="G1042" s="16" t="s">
        <v>3804</v>
      </c>
      <c r="H1042" s="11"/>
      <c r="I1042" s="12">
        <v>0</v>
      </c>
      <c r="J1042" s="12">
        <v>0</v>
      </c>
      <c r="K1042" s="13" t="str">
        <f>HYPERLINK("http://twitter.com/download/iphone","Twitter for iPhone")</f>
        <v>Twitter for iPhone</v>
      </c>
      <c r="L1042" s="12">
        <v>4246</v>
      </c>
      <c r="M1042" s="12">
        <v>2809</v>
      </c>
      <c r="N1042" s="12">
        <v>49</v>
      </c>
      <c r="O1042" s="14"/>
      <c r="P1042" s="6">
        <v>40275.243263888886</v>
      </c>
      <c r="Q1042" s="15" t="s">
        <v>3805</v>
      </c>
      <c r="R1042" s="17" t="s">
        <v>3806</v>
      </c>
      <c r="S1042" s="16" t="s">
        <v>3807</v>
      </c>
      <c r="T1042" s="11"/>
      <c r="U1042" s="10" t="str">
        <f>HYPERLINK("https://pbs.twimg.com/profile_images/1069477907746234368/CUvcd_FK.jpg","View")</f>
        <v>View</v>
      </c>
    </row>
    <row r="1043" spans="1:21" ht="81.599999999999994">
      <c r="A1043" s="6">
        <v>43440.198287037041</v>
      </c>
      <c r="B1043" s="7" t="str">
        <f>HYPERLINK("https://twitter.com/HTopinao","@HTopinao")</f>
        <v>@HTopinao</v>
      </c>
      <c r="C1043" s="8" t="s">
        <v>770</v>
      </c>
      <c r="D1043" s="9" t="s">
        <v>3808</v>
      </c>
      <c r="E1043" s="10" t="str">
        <f>HYPERLINK("https://twitter.com/HTopinao/status/1070524617926701056","1070524617926701056")</f>
        <v>1070524617926701056</v>
      </c>
      <c r="F1043" s="15" t="s">
        <v>3809</v>
      </c>
      <c r="G1043" s="11"/>
      <c r="H1043" s="11"/>
      <c r="I1043" s="12">
        <v>0</v>
      </c>
      <c r="J1043" s="12">
        <v>1</v>
      </c>
      <c r="K1043" s="13" t="str">
        <f>HYPERLINK("https://mobile.twitter.com","Twitter Lite")</f>
        <v>Twitter Lite</v>
      </c>
      <c r="L1043" s="12">
        <v>59</v>
      </c>
      <c r="M1043" s="12">
        <v>137</v>
      </c>
      <c r="N1043" s="12">
        <v>0</v>
      </c>
      <c r="O1043" s="14"/>
      <c r="P1043" s="6">
        <v>43363.402986111112</v>
      </c>
      <c r="Q1043" s="11"/>
      <c r="R1043" s="17" t="s">
        <v>773</v>
      </c>
      <c r="S1043" s="11"/>
      <c r="T1043" s="11"/>
      <c r="U1043" s="10" t="str">
        <f>HYPERLINK("https://pbs.twimg.com/profile_images/1042684706184093697/dug--VSh.jpg","View")</f>
        <v>View</v>
      </c>
    </row>
    <row r="1044" spans="1:21" ht="51">
      <c r="A1044" s="6">
        <v>43440.182962962965</v>
      </c>
      <c r="B1044" s="7" t="str">
        <f>HYPERLINK("https://twitter.com/dTomForrester","@dTomForrester")</f>
        <v>@dTomForrester</v>
      </c>
      <c r="C1044" s="8" t="s">
        <v>3810</v>
      </c>
      <c r="D1044" s="9" t="s">
        <v>3811</v>
      </c>
      <c r="E1044" s="10" t="str">
        <f>HYPERLINK("https://twitter.com/dTomForrester/status/1070519064043368448","1070519064043368448")</f>
        <v>1070519064043368448</v>
      </c>
      <c r="F1044" s="11"/>
      <c r="G1044" s="11"/>
      <c r="H1044" s="11"/>
      <c r="I1044" s="12">
        <v>6</v>
      </c>
      <c r="J1044" s="12">
        <v>10</v>
      </c>
      <c r="K1044" s="13" t="str">
        <f t="shared" ref="K1044:K1045" si="251">HYPERLINK("http://twitter.com/download/android","Twitter for Android")</f>
        <v>Twitter for Android</v>
      </c>
      <c r="L1044" s="12">
        <v>492</v>
      </c>
      <c r="M1044" s="12">
        <v>838</v>
      </c>
      <c r="N1044" s="12">
        <v>2</v>
      </c>
      <c r="O1044" s="14"/>
      <c r="P1044" s="6">
        <v>43051.116608796292</v>
      </c>
      <c r="Q1044" s="15" t="s">
        <v>3812</v>
      </c>
      <c r="R1044" s="17" t="s">
        <v>3813</v>
      </c>
      <c r="S1044" s="16" t="s">
        <v>3814</v>
      </c>
      <c r="T1044" s="11"/>
      <c r="U1044" s="10" t="str">
        <f>HYPERLINK("https://pbs.twimg.com/profile_images/942532344724054016/VPU-1ry_.jpg","View")</f>
        <v>View</v>
      </c>
    </row>
    <row r="1045" spans="1:21" ht="20.399999999999999">
      <c r="A1045" s="6">
        <v>43440.18173611111</v>
      </c>
      <c r="B1045" s="7" t="str">
        <f>HYPERLINK("https://twitter.com/Gironi1969","@Gironi1969")</f>
        <v>@Gironi1969</v>
      </c>
      <c r="C1045" s="8" t="s">
        <v>3815</v>
      </c>
      <c r="D1045" s="9" t="s">
        <v>3816</v>
      </c>
      <c r="E1045" s="10" t="str">
        <f>HYPERLINK("https://twitter.com/Gironi1969/status/1070518616536289280","1070518616536289280")</f>
        <v>1070518616536289280</v>
      </c>
      <c r="F1045" s="11"/>
      <c r="G1045" s="11"/>
      <c r="H1045" s="11"/>
      <c r="I1045" s="12">
        <v>0</v>
      </c>
      <c r="J1045" s="12">
        <v>0</v>
      </c>
      <c r="K1045" s="13" t="str">
        <f t="shared" si="251"/>
        <v>Twitter for Android</v>
      </c>
      <c r="L1045" s="12">
        <v>436</v>
      </c>
      <c r="M1045" s="12">
        <v>783</v>
      </c>
      <c r="N1045" s="12">
        <v>1</v>
      </c>
      <c r="O1045" s="14"/>
      <c r="P1045" s="6">
        <v>39953.149722222224</v>
      </c>
      <c r="Q1045" s="11"/>
      <c r="R1045" s="18"/>
      <c r="S1045" s="11"/>
      <c r="T1045" s="11"/>
      <c r="U1045" s="10" t="str">
        <f>HYPERLINK("https://pbs.twimg.com/profile_images/936799698572025856/jlsGqauT.jpg","View")</f>
        <v>View</v>
      </c>
    </row>
    <row r="1046" spans="1:21" ht="61.2">
      <c r="A1046" s="6">
        <v>43440.181261574078</v>
      </c>
      <c r="B1046" s="7" t="str">
        <f>HYPERLINK("https://twitter.com/geramarvi","@geramarvi")</f>
        <v>@geramarvi</v>
      </c>
      <c r="C1046" s="8" t="s">
        <v>3817</v>
      </c>
      <c r="D1046" s="9" t="s">
        <v>3818</v>
      </c>
      <c r="E1046" s="10" t="str">
        <f>HYPERLINK("https://twitter.com/geramarvi/status/1070518444464967682","1070518444464967682")</f>
        <v>1070518444464967682</v>
      </c>
      <c r="F1046" s="15" t="s">
        <v>3819</v>
      </c>
      <c r="G1046" s="11"/>
      <c r="H1046" s="11"/>
      <c r="I1046" s="12">
        <v>0</v>
      </c>
      <c r="J1046" s="12">
        <v>0</v>
      </c>
      <c r="K1046" s="13" t="str">
        <f>HYPERLINK("http://twitter.com","Twitter Web Client")</f>
        <v>Twitter Web Client</v>
      </c>
      <c r="L1046" s="12">
        <v>1081</v>
      </c>
      <c r="M1046" s="12">
        <v>3274</v>
      </c>
      <c r="N1046" s="12">
        <v>14</v>
      </c>
      <c r="O1046" s="14"/>
      <c r="P1046" s="6">
        <v>39924.894953703704</v>
      </c>
      <c r="Q1046" s="15" t="s">
        <v>3820</v>
      </c>
      <c r="R1046" s="17" t="s">
        <v>3821</v>
      </c>
      <c r="S1046" s="16" t="s">
        <v>3822</v>
      </c>
      <c r="T1046" s="11"/>
      <c r="U1046" s="10" t="str">
        <f>HYPERLINK("https://pbs.twimg.com/profile_images/3045837921/c7b6e7d7a4310333260689e7b2ae5889.jpeg","View")</f>
        <v>View</v>
      </c>
    </row>
    <row r="1047" spans="1:21" ht="51">
      <c r="A1047" s="6">
        <v>43440.126388888893</v>
      </c>
      <c r="B1047" s="7" t="str">
        <f t="shared" ref="B1047:B1048" si="252">HYPERLINK("https://twitter.com/bitMomentum","@bitMomentum")</f>
        <v>@bitMomentum</v>
      </c>
      <c r="C1047" s="8" t="s">
        <v>82</v>
      </c>
      <c r="D1047" s="9" t="s">
        <v>3823</v>
      </c>
      <c r="E1047" s="10" t="str">
        <f>HYPERLINK("https://twitter.com/bitMomentum/status/1070498559697543169","1070498559697543169")</f>
        <v>1070498559697543169</v>
      </c>
      <c r="F1047" s="11"/>
      <c r="G1047" s="11"/>
      <c r="H1047" s="11"/>
      <c r="I1047" s="12">
        <v>1</v>
      </c>
      <c r="J1047" s="12">
        <v>0</v>
      </c>
      <c r="K1047" s="13" t="str">
        <f t="shared" ref="K1047:K1048" si="253">HYPERLINK("http://www.bitmomentum.com","bitMomentum Bot")</f>
        <v>bitMomentum Bot</v>
      </c>
      <c r="L1047" s="12">
        <v>10253</v>
      </c>
      <c r="M1047" s="12">
        <v>1059</v>
      </c>
      <c r="N1047" s="12">
        <v>263</v>
      </c>
      <c r="O1047" s="14"/>
      <c r="P1047" s="6">
        <v>41608.667511574073</v>
      </c>
      <c r="Q1047" s="11"/>
      <c r="R1047" s="17" t="s">
        <v>84</v>
      </c>
      <c r="S1047" s="16" t="s">
        <v>85</v>
      </c>
      <c r="T1047" s="11"/>
      <c r="U1047" s="10" t="str">
        <f t="shared" ref="U1047:U1048" si="254">HYPERLINK("https://pbs.twimg.com/profile_images/378800000862185241/20ij2H3u.png","View")</f>
        <v>View</v>
      </c>
    </row>
    <row r="1048" spans="1:21" ht="51">
      <c r="A1048" s="6">
        <v>43440.125694444447</v>
      </c>
      <c r="B1048" s="7" t="str">
        <f t="shared" si="252"/>
        <v>@bitMomentum</v>
      </c>
      <c r="C1048" s="8" t="s">
        <v>82</v>
      </c>
      <c r="D1048" s="9" t="s">
        <v>3824</v>
      </c>
      <c r="E1048" s="10" t="str">
        <f>HYPERLINK("https://twitter.com/bitMomentum/status/1070498307993157632","1070498307993157632")</f>
        <v>1070498307993157632</v>
      </c>
      <c r="F1048" s="11"/>
      <c r="G1048" s="11"/>
      <c r="H1048" s="11"/>
      <c r="I1048" s="12">
        <v>1</v>
      </c>
      <c r="J1048" s="12">
        <v>0</v>
      </c>
      <c r="K1048" s="13" t="str">
        <f t="shared" si="253"/>
        <v>bitMomentum Bot</v>
      </c>
      <c r="L1048" s="12">
        <v>10253</v>
      </c>
      <c r="M1048" s="12">
        <v>1059</v>
      </c>
      <c r="N1048" s="12">
        <v>263</v>
      </c>
      <c r="O1048" s="14"/>
      <c r="P1048" s="6">
        <v>41608.667511574073</v>
      </c>
      <c r="Q1048" s="11"/>
      <c r="R1048" s="17" t="s">
        <v>84</v>
      </c>
      <c r="S1048" s="16" t="s">
        <v>85</v>
      </c>
      <c r="T1048" s="11"/>
      <c r="U1048" s="10" t="str">
        <f t="shared" si="254"/>
        <v>View</v>
      </c>
    </row>
    <row r="1049" spans="1:21" ht="20.399999999999999">
      <c r="A1049" s="6">
        <v>43440.118171296301</v>
      </c>
      <c r="B1049" s="7" t="str">
        <f>HYPERLINK("https://twitter.com/afrvet","@afrvet")</f>
        <v>@afrvet</v>
      </c>
      <c r="C1049" s="8" t="s">
        <v>776</v>
      </c>
      <c r="D1049" s="9" t="s">
        <v>3825</v>
      </c>
      <c r="E1049" s="10" t="str">
        <f>HYPERLINK("https://twitter.com/afrvet/status/1070495583792783360","1070495583792783360")</f>
        <v>1070495583792783360</v>
      </c>
      <c r="F1049" s="16" t="s">
        <v>3826</v>
      </c>
      <c r="G1049" s="11"/>
      <c r="H1049" s="11"/>
      <c r="I1049" s="12">
        <v>2</v>
      </c>
      <c r="J1049" s="12">
        <v>2</v>
      </c>
      <c r="K1049" s="13" t="str">
        <f>HYPERLINK("http://twitter.com","Twitter Web Client")</f>
        <v>Twitter Web Client</v>
      </c>
      <c r="L1049" s="12">
        <v>2013</v>
      </c>
      <c r="M1049" s="12">
        <v>1525</v>
      </c>
      <c r="N1049" s="12">
        <v>26</v>
      </c>
      <c r="O1049" s="14"/>
      <c r="P1049" s="6">
        <v>40000.540173611109</v>
      </c>
      <c r="Q1049" s="15" t="s">
        <v>779</v>
      </c>
      <c r="R1049" s="18"/>
      <c r="S1049" s="11"/>
      <c r="T1049" s="11"/>
      <c r="U1049" s="10" t="str">
        <f>HYPERLINK("https://pbs.twimg.com/profile_images/929461322105925633/P_CtDrkl.jpg","View")</f>
        <v>View</v>
      </c>
    </row>
    <row r="1050" spans="1:21" ht="30.6">
      <c r="A1050" s="6">
        <v>43440.110416666663</v>
      </c>
      <c r="B1050" s="7" t="str">
        <f>HYPERLINK("https://twitter.com/TheIndianaJ","@TheIndianaJ")</f>
        <v>@TheIndianaJ</v>
      </c>
      <c r="C1050" s="8" t="s">
        <v>3827</v>
      </c>
      <c r="D1050" s="9" t="s">
        <v>3828</v>
      </c>
      <c r="E1050" s="10" t="str">
        <f>HYPERLINK("https://twitter.com/TheIndianaJ/status/1070492771478310913","1070492771478310913")</f>
        <v>1070492771478310913</v>
      </c>
      <c r="F1050" s="11"/>
      <c r="G1050" s="11"/>
      <c r="H1050" s="11"/>
      <c r="I1050" s="12">
        <v>0</v>
      </c>
      <c r="J1050" s="12">
        <v>0</v>
      </c>
      <c r="K1050" s="13" t="str">
        <f t="shared" ref="K1050:K1054" si="255">HYPERLINK("http://twitter.com/download/android","Twitter for Android")</f>
        <v>Twitter for Android</v>
      </c>
      <c r="L1050" s="12">
        <v>574</v>
      </c>
      <c r="M1050" s="12">
        <v>91</v>
      </c>
      <c r="N1050" s="12">
        <v>7</v>
      </c>
      <c r="O1050" s="14"/>
      <c r="P1050" s="6">
        <v>41043.9847337963</v>
      </c>
      <c r="Q1050" s="11"/>
      <c r="R1050" s="17" t="s">
        <v>3829</v>
      </c>
      <c r="S1050" s="11"/>
      <c r="T1050" s="11"/>
      <c r="U1050" s="10" t="str">
        <f>HYPERLINK("https://pbs.twimg.com/profile_images/1069365830989869056/FAxsQqir.jpg","View")</f>
        <v>View</v>
      </c>
    </row>
    <row r="1051" spans="1:21" ht="30.6">
      <c r="A1051" s="6">
        <v>43440.105671296296</v>
      </c>
      <c r="B1051" s="7" t="str">
        <f>HYPERLINK("https://twitter.com/cxvtvre_","@cxvtvre_")</f>
        <v>@cxvtvre_</v>
      </c>
      <c r="C1051" s="8" t="s">
        <v>3830</v>
      </c>
      <c r="D1051" s="9" t="s">
        <v>3831</v>
      </c>
      <c r="E1051" s="10" t="str">
        <f>HYPERLINK("https://twitter.com/cxvtvre_/status/1070491054971863040","1070491054971863040")</f>
        <v>1070491054971863040</v>
      </c>
      <c r="F1051" s="11"/>
      <c r="G1051" s="11"/>
      <c r="H1051" s="11"/>
      <c r="I1051" s="12">
        <v>0</v>
      </c>
      <c r="J1051" s="12">
        <v>0</v>
      </c>
      <c r="K1051" s="13" t="str">
        <f t="shared" si="255"/>
        <v>Twitter for Android</v>
      </c>
      <c r="L1051" s="12">
        <v>375</v>
      </c>
      <c r="M1051" s="12">
        <v>162</v>
      </c>
      <c r="N1051" s="12">
        <v>6</v>
      </c>
      <c r="O1051" s="14"/>
      <c r="P1051" s="6">
        <v>40961.538726851853</v>
      </c>
      <c r="Q1051" s="11"/>
      <c r="R1051" s="17" t="s">
        <v>3832</v>
      </c>
      <c r="S1051" s="16" t="s">
        <v>3833</v>
      </c>
      <c r="T1051" s="11"/>
      <c r="U1051" s="10" t="str">
        <f>HYPERLINK("https://pbs.twimg.com/profile_images/1069106754485547009/REiK1j_n.jpg","View")</f>
        <v>View</v>
      </c>
    </row>
    <row r="1052" spans="1:21" ht="51">
      <c r="A1052" s="6">
        <v>43440.104861111111</v>
      </c>
      <c r="B1052" s="7" t="str">
        <f>HYPERLINK("https://twitter.com/antonioentonado","@antonioentonado")</f>
        <v>@antonioentonado</v>
      </c>
      <c r="C1052" s="8" t="s">
        <v>3834</v>
      </c>
      <c r="D1052" s="9" t="s">
        <v>3835</v>
      </c>
      <c r="E1052" s="10" t="str">
        <f>HYPERLINK("https://twitter.com/antonioentonado/status/1070490761282625536","1070490761282625536")</f>
        <v>1070490761282625536</v>
      </c>
      <c r="F1052" s="11"/>
      <c r="G1052" s="11"/>
      <c r="H1052" s="11"/>
      <c r="I1052" s="12">
        <v>0</v>
      </c>
      <c r="J1052" s="12">
        <v>0</v>
      </c>
      <c r="K1052" s="13" t="str">
        <f t="shared" si="255"/>
        <v>Twitter for Android</v>
      </c>
      <c r="L1052" s="12">
        <v>683</v>
      </c>
      <c r="M1052" s="12">
        <v>821</v>
      </c>
      <c r="N1052" s="12">
        <v>14</v>
      </c>
      <c r="O1052" s="14"/>
      <c r="P1052" s="6">
        <v>40629.184236111112</v>
      </c>
      <c r="Q1052" s="15" t="s">
        <v>3836</v>
      </c>
      <c r="R1052" s="17" t="s">
        <v>3837</v>
      </c>
      <c r="S1052" s="11"/>
      <c r="T1052" s="11"/>
      <c r="U1052" s="10" t="str">
        <f>HYPERLINK("https://pbs.twimg.com/profile_images/1025020424843866112/T2GDEDaO.jpg","View")</f>
        <v>View</v>
      </c>
    </row>
    <row r="1053" spans="1:21" ht="40.799999999999997">
      <c r="A1053" s="6">
        <v>43440.101134259261</v>
      </c>
      <c r="B1053" s="7" t="str">
        <f>HYPERLINK("https://twitter.com/Almudena_Luna","@Almudena_Luna")</f>
        <v>@Almudena_Luna</v>
      </c>
      <c r="C1053" s="8" t="s">
        <v>3838</v>
      </c>
      <c r="D1053" s="9" t="s">
        <v>3839</v>
      </c>
      <c r="E1053" s="10" t="str">
        <f>HYPERLINK("https://twitter.com/Almudena_Luna/status/1070489409689149441","1070489409689149441")</f>
        <v>1070489409689149441</v>
      </c>
      <c r="F1053" s="11"/>
      <c r="G1053" s="11"/>
      <c r="H1053" s="11"/>
      <c r="I1053" s="12">
        <v>0</v>
      </c>
      <c r="J1053" s="12">
        <v>0</v>
      </c>
      <c r="K1053" s="13" t="str">
        <f t="shared" si="255"/>
        <v>Twitter for Android</v>
      </c>
      <c r="L1053" s="12">
        <v>213</v>
      </c>
      <c r="M1053" s="12">
        <v>834</v>
      </c>
      <c r="N1053" s="12">
        <v>1</v>
      </c>
      <c r="O1053" s="14"/>
      <c r="P1053" s="6">
        <v>41121.087430555555</v>
      </c>
      <c r="Q1053" s="15" t="s">
        <v>2581</v>
      </c>
      <c r="R1053" s="17" t="s">
        <v>3840</v>
      </c>
      <c r="S1053" s="16" t="s">
        <v>3841</v>
      </c>
      <c r="T1053" s="11"/>
      <c r="U1053" s="10" t="str">
        <f>HYPERLINK("https://pbs.twimg.com/profile_images/1003606574806519809/AYAmq_Vn.jpg","View")</f>
        <v>View</v>
      </c>
    </row>
    <row r="1054" spans="1:21" ht="81.599999999999994">
      <c r="A1054" s="6">
        <v>43440.100671296299</v>
      </c>
      <c r="B1054" s="7" t="str">
        <f>HYPERLINK("https://twitter.com/antibetico21","@antibetico21")</f>
        <v>@antibetico21</v>
      </c>
      <c r="C1054" s="8" t="s">
        <v>3842</v>
      </c>
      <c r="D1054" s="9" t="s">
        <v>3843</v>
      </c>
      <c r="E1054" s="10" t="str">
        <f>HYPERLINK("https://twitter.com/antibetico21/status/1070489242172878848","1070489242172878848")</f>
        <v>1070489242172878848</v>
      </c>
      <c r="F1054" s="16" t="s">
        <v>3844</v>
      </c>
      <c r="G1054" s="16" t="s">
        <v>3845</v>
      </c>
      <c r="H1054" s="11"/>
      <c r="I1054" s="12">
        <v>0</v>
      </c>
      <c r="J1054" s="12">
        <v>0</v>
      </c>
      <c r="K1054" s="13" t="str">
        <f t="shared" si="255"/>
        <v>Twitter for Android</v>
      </c>
      <c r="L1054" s="12">
        <v>330</v>
      </c>
      <c r="M1054" s="12">
        <v>614</v>
      </c>
      <c r="N1054" s="12">
        <v>7</v>
      </c>
      <c r="O1054" s="14"/>
      <c r="P1054" s="6">
        <v>42552.816331018519</v>
      </c>
      <c r="Q1054" s="15" t="s">
        <v>3846</v>
      </c>
      <c r="R1054" s="17" t="s">
        <v>3847</v>
      </c>
      <c r="S1054" s="11"/>
      <c r="T1054" s="11"/>
      <c r="U1054" s="10" t="str">
        <f>HYPERLINK("https://pbs.twimg.com/profile_images/817819222080421889/NuOXTRCN.jpg","View")</f>
        <v>View</v>
      </c>
    </row>
    <row r="1055" spans="1:21" ht="51">
      <c r="A1055" s="6">
        <v>43440.098912037036</v>
      </c>
      <c r="B1055" s="7" t="str">
        <f>HYPERLINK("https://twitter.com/HermogenesDon","@HermogenesDon")</f>
        <v>@HermogenesDon</v>
      </c>
      <c r="C1055" s="8" t="s">
        <v>3848</v>
      </c>
      <c r="D1055" s="9" t="s">
        <v>3849</v>
      </c>
      <c r="E1055" s="10" t="str">
        <f>HYPERLINK("https://twitter.com/HermogenesDon/status/1070488605691236353","1070488605691236353")</f>
        <v>1070488605691236353</v>
      </c>
      <c r="F1055" s="11"/>
      <c r="G1055" s="11"/>
      <c r="H1055" s="11"/>
      <c r="I1055" s="12">
        <v>0</v>
      </c>
      <c r="J1055" s="12">
        <v>1</v>
      </c>
      <c r="K1055" s="13" t="str">
        <f>HYPERLINK("http://twitter.com/download/iphone","Twitter for iPhone")</f>
        <v>Twitter for iPhone</v>
      </c>
      <c r="L1055" s="12">
        <v>11</v>
      </c>
      <c r="M1055" s="12">
        <v>83</v>
      </c>
      <c r="N1055" s="12">
        <v>0</v>
      </c>
      <c r="O1055" s="14"/>
      <c r="P1055" s="6">
        <v>43330.420219907406</v>
      </c>
      <c r="Q1055" s="11"/>
      <c r="R1055" s="17" t="s">
        <v>3850</v>
      </c>
      <c r="S1055" s="11"/>
      <c r="T1055" s="11"/>
      <c r="U1055" s="10" t="str">
        <f>HYPERLINK("https://pbs.twimg.com/profile_images/1038212381116051457/PDQO0YEV.jpg","View")</f>
        <v>View</v>
      </c>
    </row>
    <row r="1056" spans="1:21" ht="81.599999999999994">
      <c r="A1056" s="6">
        <v>43440.095682870371</v>
      </c>
      <c r="B1056" s="7" t="str">
        <f>HYPERLINK("https://twitter.com/diegojromero","@diegojromero")</f>
        <v>@diegojromero</v>
      </c>
      <c r="C1056" s="8" t="s">
        <v>3851</v>
      </c>
      <c r="D1056" s="9" t="s">
        <v>3852</v>
      </c>
      <c r="E1056" s="10" t="str">
        <f>HYPERLINK("https://twitter.com/diegojromero/status/1070487434436186112","1070487434436186112")</f>
        <v>1070487434436186112</v>
      </c>
      <c r="F1056" s="15" t="s">
        <v>3853</v>
      </c>
      <c r="G1056" s="11"/>
      <c r="H1056" s="11"/>
      <c r="I1056" s="12">
        <v>2</v>
      </c>
      <c r="J1056" s="12">
        <v>4</v>
      </c>
      <c r="K1056" s="13" t="str">
        <f>HYPERLINK("http://twitter.com/download/android","Twitter for Android")</f>
        <v>Twitter for Android</v>
      </c>
      <c r="L1056" s="12">
        <v>1599</v>
      </c>
      <c r="M1056" s="12">
        <v>598</v>
      </c>
      <c r="N1056" s="12">
        <v>41</v>
      </c>
      <c r="O1056" s="14"/>
      <c r="P1056" s="6">
        <v>40386.242604166662</v>
      </c>
      <c r="Q1056" s="15" t="s">
        <v>3854</v>
      </c>
      <c r="R1056" s="17" t="s">
        <v>3855</v>
      </c>
      <c r="S1056" s="16" t="s">
        <v>3856</v>
      </c>
      <c r="T1056" s="11"/>
      <c r="U1056" s="10" t="str">
        <f>HYPERLINK("https://pbs.twimg.com/profile_images/661462158358786048/QLewmvO4.jpg","View")</f>
        <v>View</v>
      </c>
    </row>
    <row r="1057" spans="1:21" ht="51">
      <c r="A1057" s="6">
        <v>43440.084722222222</v>
      </c>
      <c r="B1057" s="7" t="str">
        <f>HYPERLINK("https://twitter.com/bitMomentum","@bitMomentum")</f>
        <v>@bitMomentum</v>
      </c>
      <c r="C1057" s="8" t="s">
        <v>82</v>
      </c>
      <c r="D1057" s="9" t="s">
        <v>3857</v>
      </c>
      <c r="E1057" s="10" t="str">
        <f>HYPERLINK("https://twitter.com/bitMomentum/status/1070483460198932481","1070483460198932481")</f>
        <v>1070483460198932481</v>
      </c>
      <c r="F1057" s="11"/>
      <c r="G1057" s="11"/>
      <c r="H1057" s="11"/>
      <c r="I1057" s="12">
        <v>0</v>
      </c>
      <c r="J1057" s="12">
        <v>0</v>
      </c>
      <c r="K1057" s="13" t="str">
        <f>HYPERLINK("http://www.bitmomentum.com","bitMomentum Bot")</f>
        <v>bitMomentum Bot</v>
      </c>
      <c r="L1057" s="12">
        <v>10253</v>
      </c>
      <c r="M1057" s="12">
        <v>1059</v>
      </c>
      <c r="N1057" s="12">
        <v>263</v>
      </c>
      <c r="O1057" s="14"/>
      <c r="P1057" s="6">
        <v>41608.667511574073</v>
      </c>
      <c r="Q1057" s="11"/>
      <c r="R1057" s="17" t="s">
        <v>84</v>
      </c>
      <c r="S1057" s="16" t="s">
        <v>85</v>
      </c>
      <c r="T1057" s="11"/>
      <c r="U1057" s="10" t="str">
        <f>HYPERLINK("https://pbs.twimg.com/profile_images/378800000862185241/20ij2H3u.png","View")</f>
        <v>View</v>
      </c>
    </row>
    <row r="1058" spans="1:21" ht="40.799999999999997">
      <c r="A1058" s="6">
        <v>43440.082407407404</v>
      </c>
      <c r="B1058" s="7" t="str">
        <f>HYPERLINK("https://twitter.com/Cuetano68","@Cuetano68")</f>
        <v>@Cuetano68</v>
      </c>
      <c r="C1058" s="8" t="s">
        <v>2332</v>
      </c>
      <c r="D1058" s="9" t="s">
        <v>3858</v>
      </c>
      <c r="E1058" s="10" t="str">
        <f>HYPERLINK("https://twitter.com/Cuetano68/status/1070482624236449792","1070482624236449792")</f>
        <v>1070482624236449792</v>
      </c>
      <c r="F1058" s="16" t="s">
        <v>3859</v>
      </c>
      <c r="G1058" s="16" t="s">
        <v>3860</v>
      </c>
      <c r="H1058" s="11"/>
      <c r="I1058" s="12">
        <v>3</v>
      </c>
      <c r="J1058" s="12">
        <v>1</v>
      </c>
      <c r="K1058" s="13" t="str">
        <f t="shared" ref="K1058:K1059" si="256">HYPERLINK("http://twitter.com","Twitter Web Client")</f>
        <v>Twitter Web Client</v>
      </c>
      <c r="L1058" s="12">
        <v>5821</v>
      </c>
      <c r="M1058" s="12">
        <v>6102</v>
      </c>
      <c r="N1058" s="12">
        <v>121</v>
      </c>
      <c r="O1058" s="14"/>
      <c r="P1058" s="6">
        <v>40725.851666666669</v>
      </c>
      <c r="Q1058" s="15" t="s">
        <v>2335</v>
      </c>
      <c r="R1058" s="17" t="s">
        <v>2336</v>
      </c>
      <c r="S1058" s="16" t="s">
        <v>2337</v>
      </c>
      <c r="T1058" s="11"/>
      <c r="U1058" s="10" t="str">
        <f>HYPERLINK("https://pbs.twimg.com/profile_images/900511161799639040/5J9IE4Yv.jpg","View")</f>
        <v>View</v>
      </c>
    </row>
    <row r="1059" spans="1:21" ht="30.6">
      <c r="A1059" s="6">
        <v>43440.079398148147</v>
      </c>
      <c r="B1059" s="7" t="str">
        <f>HYPERLINK("https://twitter.com/Omega_Lawliet","@Omega_Lawliet")</f>
        <v>@Omega_Lawliet</v>
      </c>
      <c r="C1059" s="8" t="s">
        <v>3861</v>
      </c>
      <c r="D1059" s="9" t="s">
        <v>3862</v>
      </c>
      <c r="E1059" s="10" t="str">
        <f>HYPERLINK("https://twitter.com/Omega_Lawliet/status/1070481532022939649","1070481532022939649")</f>
        <v>1070481532022939649</v>
      </c>
      <c r="F1059" s="11"/>
      <c r="G1059" s="16" t="s">
        <v>3863</v>
      </c>
      <c r="H1059" s="11"/>
      <c r="I1059" s="12">
        <v>0</v>
      </c>
      <c r="J1059" s="12">
        <v>0</v>
      </c>
      <c r="K1059" s="13" t="str">
        <f t="shared" si="256"/>
        <v>Twitter Web Client</v>
      </c>
      <c r="L1059" s="12">
        <v>473</v>
      </c>
      <c r="M1059" s="12">
        <v>290</v>
      </c>
      <c r="N1059" s="12">
        <v>11</v>
      </c>
      <c r="O1059" s="14"/>
      <c r="P1059" s="6">
        <v>40666.856249999997</v>
      </c>
      <c r="Q1059" s="15" t="s">
        <v>3864</v>
      </c>
      <c r="R1059" s="17" t="s">
        <v>3865</v>
      </c>
      <c r="S1059" s="11"/>
      <c r="T1059" s="11"/>
      <c r="U1059" s="10" t="str">
        <f>HYPERLINK("https://pbs.twimg.com/profile_images/1068593115316015104/gk0DwdMp.jpg","View")</f>
        <v>View</v>
      </c>
    </row>
    <row r="1060" spans="1:21" ht="51">
      <c r="A1060" s="6">
        <v>43440.076192129629</v>
      </c>
      <c r="B1060" s="7" t="str">
        <f>HYPERLINK("https://twitter.com/BruceWa17249174","@BruceWa17249174")</f>
        <v>@BruceWa17249174</v>
      </c>
      <c r="C1060" s="8" t="s">
        <v>3866</v>
      </c>
      <c r="D1060" s="9" t="s">
        <v>3867</v>
      </c>
      <c r="E1060" s="10" t="str">
        <f>HYPERLINK("https://twitter.com/BruceWa17249174/status/1070480370167111680","1070480370167111680")</f>
        <v>1070480370167111680</v>
      </c>
      <c r="F1060" s="11"/>
      <c r="G1060" s="11"/>
      <c r="H1060" s="11"/>
      <c r="I1060" s="12">
        <v>0</v>
      </c>
      <c r="J1060" s="12">
        <v>0</v>
      </c>
      <c r="K1060" s="13" t="str">
        <f t="shared" ref="K1060:K1062" si="257">HYPERLINK("http://twitter.com/download/iphone","Twitter for iPhone")</f>
        <v>Twitter for iPhone</v>
      </c>
      <c r="L1060" s="12">
        <v>6</v>
      </c>
      <c r="M1060" s="12">
        <v>39</v>
      </c>
      <c r="N1060" s="12">
        <v>0</v>
      </c>
      <c r="O1060" s="14"/>
      <c r="P1060" s="6">
        <v>43435.807986111111</v>
      </c>
      <c r="Q1060" s="15" t="s">
        <v>25</v>
      </c>
      <c r="R1060" s="17" t="s">
        <v>3868</v>
      </c>
      <c r="S1060" s="11"/>
      <c r="T1060" s="11"/>
      <c r="U1060" s="10" t="str">
        <f>HYPERLINK("https://pbs.twimg.com/profile_images/1068934201079226368/4x4yDvr5.jpg","View")</f>
        <v>View</v>
      </c>
    </row>
    <row r="1061" spans="1:21" ht="20.399999999999999">
      <c r="A1061" s="6">
        <v>43440.072291666671</v>
      </c>
      <c r="B1061" s="7" t="str">
        <f>HYPERLINK("https://twitter.com/Gloriasaurio","@Gloriasaurio")</f>
        <v>@Gloriasaurio</v>
      </c>
      <c r="C1061" s="8" t="s">
        <v>3869</v>
      </c>
      <c r="D1061" s="9" t="s">
        <v>3870</v>
      </c>
      <c r="E1061" s="10" t="str">
        <f>HYPERLINK("https://twitter.com/Gloriasaurio/status/1070478956003028993","1070478956003028993")</f>
        <v>1070478956003028993</v>
      </c>
      <c r="F1061" s="11"/>
      <c r="G1061" s="11"/>
      <c r="H1061" s="11"/>
      <c r="I1061" s="12">
        <v>0</v>
      </c>
      <c r="J1061" s="12">
        <v>1</v>
      </c>
      <c r="K1061" s="13" t="str">
        <f t="shared" si="257"/>
        <v>Twitter for iPhone</v>
      </c>
      <c r="L1061" s="12">
        <v>174</v>
      </c>
      <c r="M1061" s="12">
        <v>763</v>
      </c>
      <c r="N1061" s="12">
        <v>0</v>
      </c>
      <c r="O1061" s="14"/>
      <c r="P1061" s="6">
        <v>43430.934201388889</v>
      </c>
      <c r="Q1061" s="15" t="s">
        <v>3871</v>
      </c>
      <c r="R1061" s="17" t="s">
        <v>3872</v>
      </c>
      <c r="S1061" s="16" t="s">
        <v>3873</v>
      </c>
      <c r="T1061" s="11"/>
      <c r="U1061" s="10" t="str">
        <f>HYPERLINK("https://pbs.twimg.com/profile_images/1069274027926216704/TOX8w3_S.jpg","View")</f>
        <v>View</v>
      </c>
    </row>
    <row r="1062" spans="1:21" ht="51">
      <c r="A1062" s="6">
        <v>43440.067488425921</v>
      </c>
      <c r="B1062" s="7" t="str">
        <f>HYPERLINK("https://twitter.com/AlbertRomario","@AlbertRomario")</f>
        <v>@AlbertRomario</v>
      </c>
      <c r="C1062" s="8" t="s">
        <v>3874</v>
      </c>
      <c r="D1062" s="9" t="s">
        <v>3875</v>
      </c>
      <c r="E1062" s="10" t="str">
        <f>HYPERLINK("https://twitter.com/AlbertRomario/status/1070477216155340802","1070477216155340802")</f>
        <v>1070477216155340802</v>
      </c>
      <c r="F1062" s="15" t="s">
        <v>3876</v>
      </c>
      <c r="G1062" s="11"/>
      <c r="H1062" s="11"/>
      <c r="I1062" s="12">
        <v>0</v>
      </c>
      <c r="J1062" s="12">
        <v>1</v>
      </c>
      <c r="K1062" s="13" t="str">
        <f t="shared" si="257"/>
        <v>Twitter for iPhone</v>
      </c>
      <c r="L1062" s="12">
        <v>1081</v>
      </c>
      <c r="M1062" s="12">
        <v>2776</v>
      </c>
      <c r="N1062" s="12">
        <v>12</v>
      </c>
      <c r="O1062" s="14"/>
      <c r="P1062" s="6">
        <v>40038.530023148152</v>
      </c>
      <c r="Q1062" s="15" t="s">
        <v>3877</v>
      </c>
      <c r="R1062" s="17" t="s">
        <v>3878</v>
      </c>
      <c r="S1062" s="11"/>
      <c r="T1062" s="11"/>
      <c r="U1062" s="10" t="str">
        <f>HYPERLINK("https://pbs.twimg.com/profile_images/961144270920052736/AdH_LctL.jpg","View")</f>
        <v>View</v>
      </c>
    </row>
    <row r="1063" spans="1:21" ht="30.6">
      <c r="A1063" s="6">
        <v>43440.063888888893</v>
      </c>
      <c r="B1063" s="7" t="str">
        <f>HYPERLINK("https://twitter.com/COPE","@COPE")</f>
        <v>@COPE</v>
      </c>
      <c r="C1063" s="8" t="s">
        <v>1421</v>
      </c>
      <c r="D1063" s="9" t="s">
        <v>3879</v>
      </c>
      <c r="E1063" s="10" t="str">
        <f>HYPERLINK("https://twitter.com/COPE/status/1070475912502751233","1070475912502751233")</f>
        <v>1070475912502751233</v>
      </c>
      <c r="F1063" s="16" t="s">
        <v>3880</v>
      </c>
      <c r="G1063" s="11"/>
      <c r="H1063" s="11"/>
      <c r="I1063" s="12">
        <v>20</v>
      </c>
      <c r="J1063" s="12">
        <v>29</v>
      </c>
      <c r="K1063" s="13" t="str">
        <f>HYPERLINK("http://dogtrack.es","DogTrack_Oficial")</f>
        <v>DogTrack_Oficial</v>
      </c>
      <c r="L1063" s="12">
        <v>354194</v>
      </c>
      <c r="M1063" s="12">
        <v>150</v>
      </c>
      <c r="N1063" s="12">
        <v>3095</v>
      </c>
      <c r="O1063" s="23" t="s">
        <v>89</v>
      </c>
      <c r="P1063" s="6">
        <v>39381.538321759261</v>
      </c>
      <c r="Q1063" s="15" t="s">
        <v>185</v>
      </c>
      <c r="R1063" s="17" t="s">
        <v>1424</v>
      </c>
      <c r="S1063" s="16" t="s">
        <v>1425</v>
      </c>
      <c r="T1063" s="11"/>
      <c r="U1063" s="10" t="str">
        <f>HYPERLINK("https://pbs.twimg.com/profile_images/1063097716031533059/yAe1j-56.jpg","View")</f>
        <v>View</v>
      </c>
    </row>
    <row r="1064" spans="1:21" ht="61.2">
      <c r="A1064" s="6">
        <v>43440.061782407407</v>
      </c>
      <c r="B1064" s="7" t="str">
        <f>HYPERLINK("https://twitter.com/arb149","@arb149")</f>
        <v>@arb149</v>
      </c>
      <c r="C1064" s="8" t="s">
        <v>3123</v>
      </c>
      <c r="D1064" s="9" t="s">
        <v>3881</v>
      </c>
      <c r="E1064" s="10" t="str">
        <f>HYPERLINK("https://twitter.com/arb149/status/1070475150104162304","1070475150104162304")</f>
        <v>1070475150104162304</v>
      </c>
      <c r="F1064" s="11"/>
      <c r="G1064" s="16" t="s">
        <v>3882</v>
      </c>
      <c r="H1064" s="11"/>
      <c r="I1064" s="12">
        <v>1</v>
      </c>
      <c r="J1064" s="12">
        <v>1</v>
      </c>
      <c r="K1064" s="13" t="str">
        <f>HYPERLINK("http://twitter.com/download/android","Twitter for Android")</f>
        <v>Twitter for Android</v>
      </c>
      <c r="L1064" s="12">
        <v>1500</v>
      </c>
      <c r="M1064" s="12">
        <v>1469</v>
      </c>
      <c r="N1064" s="12">
        <v>8</v>
      </c>
      <c r="O1064" s="14"/>
      <c r="P1064" s="6">
        <v>42496.511030092588</v>
      </c>
      <c r="Q1064" s="15" t="s">
        <v>1058</v>
      </c>
      <c r="R1064" s="17" t="s">
        <v>3125</v>
      </c>
      <c r="S1064" s="16" t="s">
        <v>3126</v>
      </c>
      <c r="T1064" s="11"/>
      <c r="U1064" s="10" t="str">
        <f>HYPERLINK("https://pbs.twimg.com/profile_images/973301746612228096/Y6FEtro1.jpg","View")</f>
        <v>View</v>
      </c>
    </row>
    <row r="1065" spans="1:21" ht="51">
      <c r="A1065" s="6">
        <v>43440.061435185184</v>
      </c>
      <c r="B1065" s="7" t="str">
        <f>HYPERLINK("https://twitter.com/Jacquelinsx","@Jacquelinsx")</f>
        <v>@Jacquelinsx</v>
      </c>
      <c r="C1065" s="8" t="s">
        <v>3883</v>
      </c>
      <c r="D1065" s="9" t="s">
        <v>3884</v>
      </c>
      <c r="E1065" s="10" t="str">
        <f>HYPERLINK("https://twitter.com/Jacquelinsx/status/1070475022110740480","1070475022110740480")</f>
        <v>1070475022110740480</v>
      </c>
      <c r="F1065" s="11"/>
      <c r="G1065" s="11"/>
      <c r="H1065" s="11"/>
      <c r="I1065" s="12">
        <v>0</v>
      </c>
      <c r="J1065" s="12">
        <v>0</v>
      </c>
      <c r="K1065" s="13" t="str">
        <f>HYPERLINK("https://mobile.twitter.com","Twitter Lite")</f>
        <v>Twitter Lite</v>
      </c>
      <c r="L1065" s="12">
        <v>81</v>
      </c>
      <c r="M1065" s="12">
        <v>236</v>
      </c>
      <c r="N1065" s="12">
        <v>0</v>
      </c>
      <c r="O1065" s="14"/>
      <c r="P1065" s="6">
        <v>40047.746469907404</v>
      </c>
      <c r="Q1065" s="15" t="s">
        <v>1715</v>
      </c>
      <c r="R1065" s="17" t="s">
        <v>3885</v>
      </c>
      <c r="S1065" s="11"/>
      <c r="T1065" s="11"/>
      <c r="U1065" s="10" t="str">
        <f>HYPERLINK("https://pbs.twimg.com/profile_images/1971572844/DSC01138.JPG","View")</f>
        <v>View</v>
      </c>
    </row>
    <row r="1066" spans="1:21" ht="30.6">
      <c r="A1066" s="6">
        <v>43440.04954861111</v>
      </c>
      <c r="B1066" s="7" t="str">
        <f>HYPERLINK("https://twitter.com/JorgeDeiLiberi","@JorgeDeiLiberi")</f>
        <v>@JorgeDeiLiberi</v>
      </c>
      <c r="C1066" s="8" t="s">
        <v>3886</v>
      </c>
      <c r="D1066" s="9" t="s">
        <v>3887</v>
      </c>
      <c r="E1066" s="10" t="str">
        <f>HYPERLINK("https://twitter.com/JorgeDeiLiberi/status/1070470713751031814","1070470713751031814")</f>
        <v>1070470713751031814</v>
      </c>
      <c r="F1066" s="11"/>
      <c r="G1066" s="11"/>
      <c r="H1066" s="11"/>
      <c r="I1066" s="12">
        <v>0</v>
      </c>
      <c r="J1066" s="12">
        <v>0</v>
      </c>
      <c r="K1066" s="13" t="str">
        <f>HYPERLINK("http://twitter.com","Twitter Web Client")</f>
        <v>Twitter Web Client</v>
      </c>
      <c r="L1066" s="12">
        <v>558</v>
      </c>
      <c r="M1066" s="12">
        <v>1218</v>
      </c>
      <c r="N1066" s="12">
        <v>13</v>
      </c>
      <c r="O1066" s="14"/>
      <c r="P1066" s="6">
        <v>40675.847060185188</v>
      </c>
      <c r="Q1066" s="15" t="s">
        <v>580</v>
      </c>
      <c r="R1066" s="17" t="s">
        <v>3888</v>
      </c>
      <c r="S1066" s="16" t="s">
        <v>3889</v>
      </c>
      <c r="T1066" s="11"/>
      <c r="U1066" s="10" t="str">
        <f>HYPERLINK("https://pbs.twimg.com/profile_images/1046189309534064648/KvxU-O3j.jpg","View")</f>
        <v>View</v>
      </c>
    </row>
    <row r="1067" spans="1:21" ht="51">
      <c r="A1067" s="6">
        <v>43440.042743055557</v>
      </c>
      <c r="B1067" s="7" t="str">
        <f>HYPERLINK("https://twitter.com/a_cano88","@a_cano88")</f>
        <v>@a_cano88</v>
      </c>
      <c r="C1067" s="8" t="s">
        <v>3890</v>
      </c>
      <c r="D1067" s="9" t="s">
        <v>3891</v>
      </c>
      <c r="E1067" s="10" t="str">
        <f>HYPERLINK("https://twitter.com/a_cano88/status/1070468249358397443","1070468249358397443")</f>
        <v>1070468249358397443</v>
      </c>
      <c r="F1067" s="11"/>
      <c r="G1067" s="11"/>
      <c r="H1067" s="11"/>
      <c r="I1067" s="12">
        <v>0</v>
      </c>
      <c r="J1067" s="12">
        <v>1</v>
      </c>
      <c r="K1067" s="13" t="str">
        <f>HYPERLINK("http://twitter.com/download/android","Twitter for Android")</f>
        <v>Twitter for Android</v>
      </c>
      <c r="L1067" s="12">
        <v>5</v>
      </c>
      <c r="M1067" s="12">
        <v>4</v>
      </c>
      <c r="N1067" s="12">
        <v>0</v>
      </c>
      <c r="O1067" s="14"/>
      <c r="P1067" s="6">
        <v>41378.819479166668</v>
      </c>
      <c r="Q1067" s="11"/>
      <c r="R1067" s="17" t="s">
        <v>3892</v>
      </c>
      <c r="S1067" s="11"/>
      <c r="T1067" s="11"/>
      <c r="U1067" s="23" t="s">
        <v>437</v>
      </c>
    </row>
    <row r="1068" spans="1:21" ht="30.6">
      <c r="A1068" s="6">
        <v>43440.040127314816</v>
      </c>
      <c r="B1068" s="7" t="str">
        <f>HYPERLINK("https://twitter.com/pablopunk","@pablopunk")</f>
        <v>@pablopunk</v>
      </c>
      <c r="C1068" s="8" t="s">
        <v>3893</v>
      </c>
      <c r="D1068" s="9" t="s">
        <v>3894</v>
      </c>
      <c r="E1068" s="10" t="str">
        <f>HYPERLINK("https://twitter.com/pablopunk/status/1070467298757095426","1070467298757095426")</f>
        <v>1070467298757095426</v>
      </c>
      <c r="F1068" s="11"/>
      <c r="G1068" s="11"/>
      <c r="H1068" s="11"/>
      <c r="I1068" s="12">
        <v>0</v>
      </c>
      <c r="J1068" s="12">
        <v>0</v>
      </c>
      <c r="K1068" s="13" t="str">
        <f>HYPERLINK("http://twitter.com","Twitter Web Client")</f>
        <v>Twitter Web Client</v>
      </c>
      <c r="L1068" s="12">
        <v>327</v>
      </c>
      <c r="M1068" s="12">
        <v>284</v>
      </c>
      <c r="N1068" s="12">
        <v>19</v>
      </c>
      <c r="O1068" s="14"/>
      <c r="P1068" s="6">
        <v>40090.062060185184</v>
      </c>
      <c r="Q1068" s="15" t="s">
        <v>3895</v>
      </c>
      <c r="R1068" s="17" t="s">
        <v>3896</v>
      </c>
      <c r="S1068" s="16" t="s">
        <v>3897</v>
      </c>
      <c r="T1068" s="11"/>
      <c r="U1068" s="10" t="str">
        <f>HYPERLINK("https://pbs.twimg.com/profile_images/1068238128710918144/GlgTom1n.jpg","View")</f>
        <v>View</v>
      </c>
    </row>
    <row r="1069" spans="1:21" ht="51">
      <c r="A1069" s="6">
        <v>43440.037569444445</v>
      </c>
      <c r="B1069" s="7" t="str">
        <f>HYPERLINK("https://twitter.com/soypente","@soypente")</f>
        <v>@soypente</v>
      </c>
      <c r="C1069" s="8" t="s">
        <v>3898</v>
      </c>
      <c r="D1069" s="9" t="s">
        <v>3899</v>
      </c>
      <c r="E1069" s="10" t="str">
        <f>HYPERLINK("https://twitter.com/soypente/status/1070466372692557826","1070466372692557826")</f>
        <v>1070466372692557826</v>
      </c>
      <c r="F1069" s="16" t="s">
        <v>3900</v>
      </c>
      <c r="G1069" s="11"/>
      <c r="H1069" s="11"/>
      <c r="I1069" s="12">
        <v>0</v>
      </c>
      <c r="J1069" s="12">
        <v>0</v>
      </c>
      <c r="K1069" s="13" t="str">
        <f>HYPERLINK("http://twitter.com/download/android","Twitter for Android")</f>
        <v>Twitter for Android</v>
      </c>
      <c r="L1069" s="12">
        <v>307</v>
      </c>
      <c r="M1069" s="12">
        <v>1175</v>
      </c>
      <c r="N1069" s="12">
        <v>7</v>
      </c>
      <c r="O1069" s="14"/>
      <c r="P1069" s="6">
        <v>40361.505833333329</v>
      </c>
      <c r="Q1069" s="15" t="s">
        <v>3901</v>
      </c>
      <c r="R1069" s="17" t="s">
        <v>3902</v>
      </c>
      <c r="S1069" s="11"/>
      <c r="T1069" s="11"/>
      <c r="U1069" s="10" t="str">
        <f>HYPERLINK("https://pbs.twimg.com/profile_images/517735281613496322/V4rfA9Qt.jpeg","View")</f>
        <v>View</v>
      </c>
    </row>
    <row r="1070" spans="1:21" ht="40.799999999999997">
      <c r="A1070" s="6">
        <v>43440.034363425926</v>
      </c>
      <c r="B1070" s="7" t="str">
        <f>HYPERLINK("https://twitter.com/vitorinopyv","@vitorinopyv")</f>
        <v>@vitorinopyv</v>
      </c>
      <c r="C1070" s="8" t="s">
        <v>3903</v>
      </c>
      <c r="D1070" s="9" t="s">
        <v>3904</v>
      </c>
      <c r="E1070" s="10" t="str">
        <f>HYPERLINK("https://twitter.com/vitorinopyv/status/1070465210736107520","1070465210736107520")</f>
        <v>1070465210736107520</v>
      </c>
      <c r="F1070" s="11"/>
      <c r="G1070" s="11"/>
      <c r="H1070" s="11"/>
      <c r="I1070" s="12">
        <v>4</v>
      </c>
      <c r="J1070" s="12">
        <v>6</v>
      </c>
      <c r="K1070" s="13" t="str">
        <f>HYPERLINK("http://twitter.com","Twitter Web Client")</f>
        <v>Twitter Web Client</v>
      </c>
      <c r="L1070" s="12">
        <v>1858</v>
      </c>
      <c r="M1070" s="12">
        <v>3405</v>
      </c>
      <c r="N1070" s="12">
        <v>60</v>
      </c>
      <c r="O1070" s="14"/>
      <c r="P1070" s="6">
        <v>40723.663819444446</v>
      </c>
      <c r="Q1070" s="15" t="s">
        <v>3905</v>
      </c>
      <c r="R1070" s="17" t="s">
        <v>3906</v>
      </c>
      <c r="S1070" s="16" t="s">
        <v>3907</v>
      </c>
      <c r="T1070" s="11"/>
      <c r="U1070" s="10" t="str">
        <f>HYPERLINK("https://pbs.twimg.com/profile_images/1419496543/PB.jpg","View")</f>
        <v>View</v>
      </c>
    </row>
    <row r="1071" spans="1:21" ht="51">
      <c r="A1071" s="6">
        <v>43440.033761574072</v>
      </c>
      <c r="B1071" s="7" t="str">
        <f>HYPERLINK("https://twitter.com/PabloRR66","@PabloRR66")</f>
        <v>@PabloRR66</v>
      </c>
      <c r="C1071" s="8" t="s">
        <v>3908</v>
      </c>
      <c r="D1071" s="9" t="s">
        <v>3909</v>
      </c>
      <c r="E1071" s="10" t="str">
        <f>HYPERLINK("https://twitter.com/PabloRR66/status/1070464994695884800","1070464994695884800")</f>
        <v>1070464994695884800</v>
      </c>
      <c r="F1071" s="15" t="s">
        <v>3910</v>
      </c>
      <c r="G1071" s="16" t="s">
        <v>3911</v>
      </c>
      <c r="H1071" s="11"/>
      <c r="I1071" s="12">
        <v>0</v>
      </c>
      <c r="J1071" s="12">
        <v>0</v>
      </c>
      <c r="K1071" s="13" t="str">
        <f t="shared" ref="K1071:K1072" si="258">HYPERLINK("http://twitter.com/download/android","Twitter for Android")</f>
        <v>Twitter for Android</v>
      </c>
      <c r="L1071" s="12">
        <v>2248</v>
      </c>
      <c r="M1071" s="12">
        <v>2037</v>
      </c>
      <c r="N1071" s="12">
        <v>35</v>
      </c>
      <c r="O1071" s="14"/>
      <c r="P1071" s="6">
        <v>41404.157685185186</v>
      </c>
      <c r="Q1071" s="15" t="s">
        <v>3912</v>
      </c>
      <c r="R1071" s="17" t="s">
        <v>3913</v>
      </c>
      <c r="S1071" s="11"/>
      <c r="T1071" s="11"/>
      <c r="U1071" s="10" t="str">
        <f>HYPERLINK("https://pbs.twimg.com/profile_images/991232215307767809/hLojZNhD.jpg","View")</f>
        <v>View</v>
      </c>
    </row>
    <row r="1072" spans="1:21" ht="40.799999999999997">
      <c r="A1072" s="6">
        <v>43440.033217592594</v>
      </c>
      <c r="B1072" s="7" t="str">
        <f>HYPERLINK("https://twitter.com/ahond","@ahond")</f>
        <v>@ahond</v>
      </c>
      <c r="C1072" s="8" t="s">
        <v>3914</v>
      </c>
      <c r="D1072" s="9" t="s">
        <v>3915</v>
      </c>
      <c r="E1072" s="10" t="str">
        <f>HYPERLINK("https://twitter.com/ahond/status/1070464798448599041","1070464798448599041")</f>
        <v>1070464798448599041</v>
      </c>
      <c r="F1072" s="11"/>
      <c r="G1072" s="16" t="s">
        <v>3916</v>
      </c>
      <c r="H1072" s="11"/>
      <c r="I1072" s="12">
        <v>1</v>
      </c>
      <c r="J1072" s="12">
        <v>1</v>
      </c>
      <c r="K1072" s="13" t="str">
        <f t="shared" si="258"/>
        <v>Twitter for Android</v>
      </c>
      <c r="L1072" s="12">
        <v>140</v>
      </c>
      <c r="M1072" s="12">
        <v>483</v>
      </c>
      <c r="N1072" s="12">
        <v>5</v>
      </c>
      <c r="O1072" s="14"/>
      <c r="P1072" s="6">
        <v>40889.711030092592</v>
      </c>
      <c r="Q1072" s="15" t="s">
        <v>197</v>
      </c>
      <c r="R1072" s="17" t="s">
        <v>3917</v>
      </c>
      <c r="S1072" s="11"/>
      <c r="T1072" s="11"/>
      <c r="U1072" s="10" t="str">
        <f>HYPERLINK("https://pbs.twimg.com/profile_images/2168478152/photo.jpg","View")</f>
        <v>View</v>
      </c>
    </row>
    <row r="1073" spans="1:21" ht="81.599999999999994">
      <c r="A1073" s="6">
        <v>43440.032071759255</v>
      </c>
      <c r="B1073" s="7" t="str">
        <f>HYPERLINK("https://twitter.com/derechanacional","@derechanacional")</f>
        <v>@derechanacional</v>
      </c>
      <c r="C1073" s="8" t="s">
        <v>809</v>
      </c>
      <c r="D1073" s="9" t="s">
        <v>3918</v>
      </c>
      <c r="E1073" s="10" t="str">
        <f>HYPERLINK("https://twitter.com/derechanacional/status/1070464381065007105","1070464381065007105")</f>
        <v>1070464381065007105</v>
      </c>
      <c r="F1073" s="16" t="s">
        <v>3919</v>
      </c>
      <c r="G1073" s="16" t="s">
        <v>3920</v>
      </c>
      <c r="H1073" s="11"/>
      <c r="I1073" s="12">
        <v>0</v>
      </c>
      <c r="J1073" s="12">
        <v>0</v>
      </c>
      <c r="K1073" s="13" t="str">
        <f>HYPERLINK("https://mobile.twitter.com","Twitter Lite")</f>
        <v>Twitter Lite</v>
      </c>
      <c r="L1073" s="12">
        <v>12444</v>
      </c>
      <c r="M1073" s="12">
        <v>939</v>
      </c>
      <c r="N1073" s="12">
        <v>57</v>
      </c>
      <c r="O1073" s="14"/>
      <c r="P1073" s="6">
        <v>40205.043692129628</v>
      </c>
      <c r="Q1073" s="15" t="s">
        <v>185</v>
      </c>
      <c r="R1073" s="17" t="s">
        <v>812</v>
      </c>
      <c r="S1073" s="16" t="s">
        <v>813</v>
      </c>
      <c r="T1073" s="11"/>
      <c r="U1073" s="10" t="str">
        <f>HYPERLINK("https://pbs.twimg.com/profile_images/1003817558150131713/IX1-gpQG.jpg","View")</f>
        <v>View</v>
      </c>
    </row>
    <row r="1074" spans="1:21" ht="20.399999999999999">
      <c r="A1074" s="6">
        <v>43440.031157407408</v>
      </c>
      <c r="B1074" s="7" t="str">
        <f>HYPERLINK("https://twitter.com/AgustnGimnez","@AgustnGimnez")</f>
        <v>@AgustnGimnez</v>
      </c>
      <c r="C1074" s="8" t="s">
        <v>3921</v>
      </c>
      <c r="D1074" s="9" t="s">
        <v>1042</v>
      </c>
      <c r="E1074" s="10" t="str">
        <f>HYPERLINK("https://twitter.com/AgustnGimnez/status/1070464051405299713","1070464051405299713")</f>
        <v>1070464051405299713</v>
      </c>
      <c r="F1074" s="16" t="s">
        <v>1043</v>
      </c>
      <c r="G1074" s="11"/>
      <c r="H1074" s="11"/>
      <c r="I1074" s="12">
        <v>0</v>
      </c>
      <c r="J1074" s="12">
        <v>0</v>
      </c>
      <c r="K1074" s="13" t="str">
        <f>HYPERLINK("https://www.google.com/","Google")</f>
        <v>Google</v>
      </c>
      <c r="L1074" s="12">
        <v>44</v>
      </c>
      <c r="M1074" s="12">
        <v>14</v>
      </c>
      <c r="N1074" s="12">
        <v>0</v>
      </c>
      <c r="O1074" s="14"/>
      <c r="P1074" s="6">
        <v>41316.461655092593</v>
      </c>
      <c r="Q1074" s="11"/>
      <c r="R1074" s="17" t="s">
        <v>3922</v>
      </c>
      <c r="S1074" s="11"/>
      <c r="T1074" s="11"/>
      <c r="U1074" s="10" t="str">
        <f>HYPERLINK("https://pbs.twimg.com/profile_images/3238456731/34ff6d4e283aa36dcc86e8cd2ec3f144.jpeg","View")</f>
        <v>View</v>
      </c>
    </row>
    <row r="1075" spans="1:21" ht="51">
      <c r="A1075" s="6">
        <v>43440.031030092592</v>
      </c>
      <c r="B1075" s="7" t="str">
        <f>HYPERLINK("https://twitter.com/sergiobc_24","@sergiobc_24")</f>
        <v>@sergiobc_24</v>
      </c>
      <c r="C1075" s="8" t="s">
        <v>3923</v>
      </c>
      <c r="D1075" s="9" t="s">
        <v>3924</v>
      </c>
      <c r="E1075" s="10" t="str">
        <f>HYPERLINK("https://twitter.com/sergiobc_24/status/1070464002902372353","1070464002902372353")</f>
        <v>1070464002902372353</v>
      </c>
      <c r="F1075" s="11"/>
      <c r="G1075" s="11"/>
      <c r="H1075" s="11"/>
      <c r="I1075" s="12">
        <v>0</v>
      </c>
      <c r="J1075" s="12">
        <v>0</v>
      </c>
      <c r="K1075" s="13" t="str">
        <f t="shared" ref="K1075:K1077" si="259">HYPERLINK("http://twitter.com/download/android","Twitter for Android")</f>
        <v>Twitter for Android</v>
      </c>
      <c r="L1075" s="12">
        <v>1352</v>
      </c>
      <c r="M1075" s="12">
        <v>1184</v>
      </c>
      <c r="N1075" s="12">
        <v>12</v>
      </c>
      <c r="O1075" s="14"/>
      <c r="P1075" s="6">
        <v>41540.834803240738</v>
      </c>
      <c r="Q1075" s="15" t="s">
        <v>1048</v>
      </c>
      <c r="R1075" s="17" t="s">
        <v>3925</v>
      </c>
      <c r="S1075" s="11"/>
      <c r="T1075" s="11"/>
      <c r="U1075" s="10" t="str">
        <f>HYPERLINK("https://pbs.twimg.com/profile_images/934003387431116800/F8kiACrB.jpg","View")</f>
        <v>View</v>
      </c>
    </row>
    <row r="1076" spans="1:21" ht="30.6">
      <c r="A1076" s="6">
        <v>43440.030856481477</v>
      </c>
      <c r="B1076" s="7" t="str">
        <f>HYPERLINK("https://twitter.com/doguionrego","@doguionrego")</f>
        <v>@doguionrego</v>
      </c>
      <c r="C1076" s="8" t="s">
        <v>194</v>
      </c>
      <c r="D1076" s="9" t="s">
        <v>3926</v>
      </c>
      <c r="E1076" s="10" t="str">
        <f>HYPERLINK("https://twitter.com/doguionrego/status/1070463942688980992","1070463942688980992")</f>
        <v>1070463942688980992</v>
      </c>
      <c r="F1076" s="16" t="s">
        <v>3927</v>
      </c>
      <c r="G1076" s="11"/>
      <c r="H1076" s="11"/>
      <c r="I1076" s="12">
        <v>0</v>
      </c>
      <c r="J1076" s="12">
        <v>0</v>
      </c>
      <c r="K1076" s="13" t="str">
        <f t="shared" si="259"/>
        <v>Twitter for Android</v>
      </c>
      <c r="L1076" s="12">
        <v>4650</v>
      </c>
      <c r="M1076" s="12">
        <v>4774</v>
      </c>
      <c r="N1076" s="12">
        <v>9</v>
      </c>
      <c r="O1076" s="14"/>
      <c r="P1076" s="6">
        <v>42818.633599537032</v>
      </c>
      <c r="Q1076" s="15" t="s">
        <v>197</v>
      </c>
      <c r="R1076" s="17" t="s">
        <v>198</v>
      </c>
      <c r="S1076" s="11"/>
      <c r="T1076" s="11"/>
      <c r="U1076" s="10" t="str">
        <f>HYPERLINK("https://pbs.twimg.com/profile_images/937615481602789376/OBa7YPsM.jpg","View")</f>
        <v>View</v>
      </c>
    </row>
    <row r="1077" spans="1:21" ht="61.2">
      <c r="A1077" s="6">
        <v>43440.029641203699</v>
      </c>
      <c r="B1077" s="7" t="str">
        <f>HYPERLINK("https://twitter.com/astilviejo","@astilviejo")</f>
        <v>@astilviejo</v>
      </c>
      <c r="C1077" s="8" t="s">
        <v>3928</v>
      </c>
      <c r="D1077" s="9" t="s">
        <v>3929</v>
      </c>
      <c r="E1077" s="10" t="str">
        <f>HYPERLINK("https://twitter.com/astilviejo/status/1070463500777086977","1070463500777086977")</f>
        <v>1070463500777086977</v>
      </c>
      <c r="F1077" s="16" t="s">
        <v>3930</v>
      </c>
      <c r="G1077" s="16" t="s">
        <v>3931</v>
      </c>
      <c r="H1077" s="11"/>
      <c r="I1077" s="12">
        <v>0</v>
      </c>
      <c r="J1077" s="12">
        <v>0</v>
      </c>
      <c r="K1077" s="13" t="str">
        <f t="shared" si="259"/>
        <v>Twitter for Android</v>
      </c>
      <c r="L1077" s="12">
        <v>48</v>
      </c>
      <c r="M1077" s="12">
        <v>121</v>
      </c>
      <c r="N1077" s="12">
        <v>3</v>
      </c>
      <c r="O1077" s="14"/>
      <c r="P1077" s="6">
        <v>42071.83394675926</v>
      </c>
      <c r="Q1077" s="15" t="s">
        <v>3932</v>
      </c>
      <c r="R1077" s="18"/>
      <c r="S1077" s="11"/>
      <c r="T1077" s="11"/>
      <c r="U1077" s="10" t="str">
        <f>HYPERLINK("https://pbs.twimg.com/profile_images/574646525827112961/av6jzNbZ.jpeg","View")</f>
        <v>View</v>
      </c>
    </row>
    <row r="1078" spans="1:21" ht="51">
      <c r="A1078" s="6">
        <v>43440.026331018518</v>
      </c>
      <c r="B1078" s="7" t="str">
        <f>HYPERLINK("https://twitter.com/adelplort","@adelplort")</f>
        <v>@adelplort</v>
      </c>
      <c r="C1078" s="8" t="s">
        <v>3933</v>
      </c>
      <c r="D1078" s="9" t="s">
        <v>3934</v>
      </c>
      <c r="E1078" s="10" t="str">
        <f>HYPERLINK("https://twitter.com/adelplort/status/1070462301982085127","1070462301982085127")</f>
        <v>1070462301982085127</v>
      </c>
      <c r="F1078" s="15" t="s">
        <v>3071</v>
      </c>
      <c r="G1078" s="16" t="s">
        <v>3072</v>
      </c>
      <c r="H1078" s="11"/>
      <c r="I1078" s="12">
        <v>0</v>
      </c>
      <c r="J1078" s="12">
        <v>0</v>
      </c>
      <c r="K1078" s="13" t="str">
        <f>HYPERLINK("http://twitter.com/#!/download/ipad","Twitter for iPad")</f>
        <v>Twitter for iPad</v>
      </c>
      <c r="L1078" s="12">
        <v>148</v>
      </c>
      <c r="M1078" s="12">
        <v>353</v>
      </c>
      <c r="N1078" s="12">
        <v>3</v>
      </c>
      <c r="O1078" s="14"/>
      <c r="P1078" s="6">
        <v>42500.773379629631</v>
      </c>
      <c r="Q1078" s="15" t="s">
        <v>197</v>
      </c>
      <c r="R1078" s="17" t="s">
        <v>3935</v>
      </c>
      <c r="S1078" s="11"/>
      <c r="T1078" s="11"/>
      <c r="U1078" s="10" t="str">
        <f>HYPERLINK("https://pbs.twimg.com/profile_images/1070063460397056001/kaJqMemC.jpg","View")</f>
        <v>View</v>
      </c>
    </row>
    <row r="1079" spans="1:21" ht="71.400000000000006">
      <c r="A1079" s="6">
        <v>43440.024618055555</v>
      </c>
      <c r="B1079" s="7" t="str">
        <f>HYPERLINK("https://twitter.com/cukecito","@cukecito")</f>
        <v>@cukecito</v>
      </c>
      <c r="C1079" s="8" t="s">
        <v>3936</v>
      </c>
      <c r="D1079" s="9" t="s">
        <v>3937</v>
      </c>
      <c r="E1079" s="10" t="str">
        <f>HYPERLINK("https://twitter.com/cukecito/status/1070461681346768897","1070461681346768897")</f>
        <v>1070461681346768897</v>
      </c>
      <c r="F1079" s="15" t="s">
        <v>3938</v>
      </c>
      <c r="G1079" s="11"/>
      <c r="H1079" s="11"/>
      <c r="I1079" s="12">
        <v>0</v>
      </c>
      <c r="J1079" s="12">
        <v>0</v>
      </c>
      <c r="K1079" s="13" t="str">
        <f t="shared" ref="K1079:K1080" si="260">HYPERLINK("http://twitter.com/download/android","Twitter for Android")</f>
        <v>Twitter for Android</v>
      </c>
      <c r="L1079" s="12">
        <v>55</v>
      </c>
      <c r="M1079" s="12">
        <v>105</v>
      </c>
      <c r="N1079" s="12">
        <v>1</v>
      </c>
      <c r="O1079" s="14"/>
      <c r="P1079" s="6">
        <v>40583.571655092594</v>
      </c>
      <c r="Q1079" s="15" t="s">
        <v>3939</v>
      </c>
      <c r="R1079" s="17" t="s">
        <v>3940</v>
      </c>
      <c r="S1079" s="16" t="s">
        <v>3941</v>
      </c>
      <c r="T1079" s="11"/>
      <c r="U1079" s="10" t="str">
        <f>HYPERLINK("https://pbs.twimg.com/profile_images/1240221594/cuke2.jpg","View")</f>
        <v>View</v>
      </c>
    </row>
    <row r="1080" spans="1:21" ht="51">
      <c r="A1080" s="6">
        <v>43440.020729166667</v>
      </c>
      <c r="B1080" s="7" t="str">
        <f>HYPERLINK("https://twitter.com/Betisebasta21","@Betisebasta21")</f>
        <v>@Betisebasta21</v>
      </c>
      <c r="C1080" s="8" t="s">
        <v>3942</v>
      </c>
      <c r="D1080" s="9" t="s">
        <v>3943</v>
      </c>
      <c r="E1080" s="10" t="str">
        <f>HYPERLINK("https://twitter.com/Betisebasta21/status/1070460271251124224","1070460271251124224")</f>
        <v>1070460271251124224</v>
      </c>
      <c r="F1080" s="11"/>
      <c r="G1080" s="16" t="s">
        <v>3944</v>
      </c>
      <c r="H1080" s="11"/>
      <c r="I1080" s="12">
        <v>1</v>
      </c>
      <c r="J1080" s="12">
        <v>3</v>
      </c>
      <c r="K1080" s="13" t="str">
        <f t="shared" si="260"/>
        <v>Twitter for Android</v>
      </c>
      <c r="L1080" s="12">
        <v>258</v>
      </c>
      <c r="M1080" s="12">
        <v>467</v>
      </c>
      <c r="N1080" s="12">
        <v>0</v>
      </c>
      <c r="O1080" s="14"/>
      <c r="P1080" s="6">
        <v>43385.08766203704</v>
      </c>
      <c r="Q1080" s="15" t="s">
        <v>3945</v>
      </c>
      <c r="R1080" s="17" t="s">
        <v>3946</v>
      </c>
      <c r="S1080" s="11"/>
      <c r="T1080" s="11"/>
      <c r="U1080" s="10" t="str">
        <f>HYPERLINK("https://pbs.twimg.com/profile_images/1061043598202953728/S5h94w39.jpg","View")</f>
        <v>View</v>
      </c>
    </row>
    <row r="1081" spans="1:21" ht="30.6">
      <c r="A1081" s="6">
        <v>43440.017997685187</v>
      </c>
      <c r="B1081" s="7" t="str">
        <f>HYPERLINK("https://twitter.com/ElAngelFacha","@ElAngelFacha")</f>
        <v>@ElAngelFacha</v>
      </c>
      <c r="C1081" s="8" t="s">
        <v>246</v>
      </c>
      <c r="D1081" s="9" t="s">
        <v>3947</v>
      </c>
      <c r="E1081" s="10" t="str">
        <f>HYPERLINK("https://twitter.com/ElAngelFacha/status/1070459283387633669","1070459283387633669")</f>
        <v>1070459283387633669</v>
      </c>
      <c r="F1081" s="16" t="s">
        <v>3948</v>
      </c>
      <c r="G1081" s="11"/>
      <c r="H1081" s="11"/>
      <c r="I1081" s="12">
        <v>28</v>
      </c>
      <c r="J1081" s="12">
        <v>28</v>
      </c>
      <c r="K1081" s="13" t="str">
        <f>HYPERLINK("http://twitter.com","Twitter Web Client")</f>
        <v>Twitter Web Client</v>
      </c>
      <c r="L1081" s="12">
        <v>1472</v>
      </c>
      <c r="M1081" s="12">
        <v>2060</v>
      </c>
      <c r="N1081" s="12">
        <v>4</v>
      </c>
      <c r="O1081" s="14"/>
      <c r="P1081" s="6">
        <v>42923.928784722222</v>
      </c>
      <c r="Q1081" s="15" t="s">
        <v>249</v>
      </c>
      <c r="R1081" s="17" t="s">
        <v>250</v>
      </c>
      <c r="S1081" s="11"/>
      <c r="T1081" s="11"/>
      <c r="U1081" s="10" t="str">
        <f>HYPERLINK("https://pbs.twimg.com/profile_images/1068670609935208450/c84QvuV4.jpg","View")</f>
        <v>View</v>
      </c>
    </row>
    <row r="1082" spans="1:21" ht="51">
      <c r="A1082" s="6">
        <v>43440.015046296292</v>
      </c>
      <c r="B1082" s="7" t="str">
        <f>HYPERLINK("https://twitter.com/a_cano88","@a_cano88")</f>
        <v>@a_cano88</v>
      </c>
      <c r="C1082" s="8" t="s">
        <v>3890</v>
      </c>
      <c r="D1082" s="9" t="s">
        <v>3949</v>
      </c>
      <c r="E1082" s="10" t="str">
        <f>HYPERLINK("https://twitter.com/a_cano88/status/1070458210283372544","1070458210283372544")</f>
        <v>1070458210283372544</v>
      </c>
      <c r="F1082" s="11"/>
      <c r="G1082" s="11"/>
      <c r="H1082" s="11"/>
      <c r="I1082" s="12">
        <v>0</v>
      </c>
      <c r="J1082" s="12">
        <v>1</v>
      </c>
      <c r="K1082" s="13" t="str">
        <f>HYPERLINK("http://twitter.com/download/android","Twitter for Android")</f>
        <v>Twitter for Android</v>
      </c>
      <c r="L1082" s="12">
        <v>5</v>
      </c>
      <c r="M1082" s="12">
        <v>4</v>
      </c>
      <c r="N1082" s="12">
        <v>0</v>
      </c>
      <c r="O1082" s="14"/>
      <c r="P1082" s="6">
        <v>41378.819479166668</v>
      </c>
      <c r="Q1082" s="11"/>
      <c r="R1082" s="17" t="s">
        <v>3892</v>
      </c>
      <c r="S1082" s="11"/>
      <c r="T1082" s="11"/>
      <c r="U1082" s="23" t="s">
        <v>437</v>
      </c>
    </row>
    <row r="1083" spans="1:21" ht="30.6">
      <c r="A1083" s="6">
        <v>43440.014224537037</v>
      </c>
      <c r="B1083" s="7" t="str">
        <f>HYPERLINK("https://twitter.com/2Harley1199","@2Harley1199")</f>
        <v>@2Harley1199</v>
      </c>
      <c r="C1083" s="8" t="s">
        <v>3950</v>
      </c>
      <c r="D1083" s="9" t="s">
        <v>3951</v>
      </c>
      <c r="E1083" s="10" t="str">
        <f>HYPERLINK("https://twitter.com/2Harley1199/status/1070457915801264128","1070457915801264128")</f>
        <v>1070457915801264128</v>
      </c>
      <c r="F1083" s="11"/>
      <c r="G1083" s="11"/>
      <c r="H1083" s="11"/>
      <c r="I1083" s="12">
        <v>0</v>
      </c>
      <c r="J1083" s="12">
        <v>0</v>
      </c>
      <c r="K1083" s="13" t="str">
        <f t="shared" ref="K1083:K1084" si="261">HYPERLINK("http://twitter.com/download/iphone","Twitter for iPhone")</f>
        <v>Twitter for iPhone</v>
      </c>
      <c r="L1083" s="12">
        <v>51</v>
      </c>
      <c r="M1083" s="12">
        <v>71</v>
      </c>
      <c r="N1083" s="12">
        <v>1</v>
      </c>
      <c r="O1083" s="14"/>
      <c r="P1083" s="6">
        <v>42869.67586805555</v>
      </c>
      <c r="Q1083" s="15" t="s">
        <v>501</v>
      </c>
      <c r="R1083" s="17" t="s">
        <v>3952</v>
      </c>
      <c r="S1083" s="11"/>
      <c r="T1083" s="11"/>
      <c r="U1083" s="10" t="str">
        <f>HYPERLINK("https://pbs.twimg.com/profile_images/1005250518590152704/FcjBtl-n.jpg","View")</f>
        <v>View</v>
      </c>
    </row>
    <row r="1084" spans="1:21" ht="40.799999999999997">
      <c r="A1084" s="6">
        <v>43440.013553240744</v>
      </c>
      <c r="B1084" s="7" t="str">
        <f>HYPERLINK("https://twitter.com/espartano_esp","@espartano_esp")</f>
        <v>@espartano_esp</v>
      </c>
      <c r="C1084" s="8" t="s">
        <v>3953</v>
      </c>
      <c r="D1084" s="9" t="s">
        <v>3954</v>
      </c>
      <c r="E1084" s="10" t="str">
        <f>HYPERLINK("https://twitter.com/espartano_esp/status/1070457671369801728","1070457671369801728")</f>
        <v>1070457671369801728</v>
      </c>
      <c r="F1084" s="15" t="s">
        <v>3955</v>
      </c>
      <c r="G1084" s="11"/>
      <c r="H1084" s="11"/>
      <c r="I1084" s="12">
        <v>0</v>
      </c>
      <c r="J1084" s="12">
        <v>0</v>
      </c>
      <c r="K1084" s="13" t="str">
        <f t="shared" si="261"/>
        <v>Twitter for iPhone</v>
      </c>
      <c r="L1084" s="12">
        <v>5034</v>
      </c>
      <c r="M1084" s="12">
        <v>3667</v>
      </c>
      <c r="N1084" s="12">
        <v>41</v>
      </c>
      <c r="O1084" s="14"/>
      <c r="P1084" s="6">
        <v>41016.778761574074</v>
      </c>
      <c r="Q1084" s="15" t="s">
        <v>3956</v>
      </c>
      <c r="R1084" s="17" t="s">
        <v>3957</v>
      </c>
      <c r="S1084" s="11"/>
      <c r="T1084" s="11"/>
      <c r="U1084" s="10" t="str">
        <f>HYPERLINK("https://pbs.twimg.com/profile_images/907284538816172032/NiS5YFqi.jpg","View")</f>
        <v>View</v>
      </c>
    </row>
    <row r="1085" spans="1:21" ht="20.399999999999999">
      <c r="A1085" s="6">
        <v>43440.013344907406</v>
      </c>
      <c r="B1085" s="7" t="str">
        <f>HYPERLINK("https://twitter.com/JosssGar","@JosssGar")</f>
        <v>@JosssGar</v>
      </c>
      <c r="C1085" s="8" t="s">
        <v>3958</v>
      </c>
      <c r="D1085" s="9" t="s">
        <v>3959</v>
      </c>
      <c r="E1085" s="10" t="str">
        <f>HYPERLINK("https://twitter.com/JosssGar/status/1070457595662602240","1070457595662602240")</f>
        <v>1070457595662602240</v>
      </c>
      <c r="F1085" s="11"/>
      <c r="G1085" s="11"/>
      <c r="H1085" s="11"/>
      <c r="I1085" s="12">
        <v>0</v>
      </c>
      <c r="J1085" s="12">
        <v>0</v>
      </c>
      <c r="K1085" s="13" t="str">
        <f>HYPERLINK("http://twitter.com","Twitter Web Client")</f>
        <v>Twitter Web Client</v>
      </c>
      <c r="L1085" s="12">
        <v>28</v>
      </c>
      <c r="M1085" s="12">
        <v>30</v>
      </c>
      <c r="N1085" s="12">
        <v>0</v>
      </c>
      <c r="O1085" s="14"/>
      <c r="P1085" s="6">
        <v>40026.273935185185</v>
      </c>
      <c r="Q1085" s="11"/>
      <c r="R1085" s="17" t="s">
        <v>3960</v>
      </c>
      <c r="S1085" s="11"/>
      <c r="T1085" s="11"/>
      <c r="U1085" s="10" t="str">
        <f>HYPERLINK("https://pbs.twimg.com/profile_images/965601771723862016/FWQQqjGm.jpg","View")</f>
        <v>View</v>
      </c>
    </row>
    <row r="1086" spans="1:21" ht="51">
      <c r="A1086" s="6">
        <v>43440.008206018523</v>
      </c>
      <c r="B1086" s="7" t="str">
        <f>HYPERLINK("https://twitter.com/Hima87","@Hima87")</f>
        <v>@Hima87</v>
      </c>
      <c r="C1086" s="8" t="s">
        <v>3961</v>
      </c>
      <c r="D1086" s="9" t="s">
        <v>3962</v>
      </c>
      <c r="E1086" s="10" t="str">
        <f>HYPERLINK("https://twitter.com/Hima87/status/1070455732120797186","1070455732120797186")</f>
        <v>1070455732120797186</v>
      </c>
      <c r="F1086" s="11"/>
      <c r="G1086" s="11"/>
      <c r="H1086" s="11"/>
      <c r="I1086" s="12">
        <v>0</v>
      </c>
      <c r="J1086" s="12">
        <v>0</v>
      </c>
      <c r="K1086" s="13" t="str">
        <f>HYPERLINK("http://twitter.com/download/iphone","Twitter for iPhone")</f>
        <v>Twitter for iPhone</v>
      </c>
      <c r="L1086" s="12">
        <v>115</v>
      </c>
      <c r="M1086" s="12">
        <v>343</v>
      </c>
      <c r="N1086" s="12">
        <v>2</v>
      </c>
      <c r="O1086" s="14"/>
      <c r="P1086" s="6">
        <v>40142.894456018519</v>
      </c>
      <c r="Q1086" s="15" t="s">
        <v>724</v>
      </c>
      <c r="R1086" s="17" t="s">
        <v>3963</v>
      </c>
      <c r="S1086" s="16" t="s">
        <v>3964</v>
      </c>
      <c r="T1086" s="11"/>
      <c r="U1086" s="10" t="str">
        <f>HYPERLINK("https://pbs.twimg.com/profile_images/898463443208085505/i3sADs0O.jpg","View")</f>
        <v>View</v>
      </c>
    </row>
    <row r="1087" spans="1:21" ht="51">
      <c r="A1087" s="6">
        <v>43440.006215277783</v>
      </c>
      <c r="B1087" s="7" t="str">
        <f>HYPERLINK("https://twitter.com/ximoilicitano14","@ximoilicitano14")</f>
        <v>@ximoilicitano14</v>
      </c>
      <c r="C1087" s="8" t="s">
        <v>1914</v>
      </c>
      <c r="D1087" s="9" t="s">
        <v>3965</v>
      </c>
      <c r="E1087" s="10" t="str">
        <f>HYPERLINK("https://twitter.com/ximoilicitano14/status/1070455011040264193","1070455011040264193")</f>
        <v>1070455011040264193</v>
      </c>
      <c r="F1087" s="11"/>
      <c r="G1087" s="16" t="s">
        <v>3966</v>
      </c>
      <c r="H1087" s="11"/>
      <c r="I1087" s="12">
        <v>4</v>
      </c>
      <c r="J1087" s="12">
        <v>3</v>
      </c>
      <c r="K1087" s="13" t="str">
        <f t="shared" ref="K1087:K1089" si="262">HYPERLINK("http://twitter.com/download/android","Twitter for Android")</f>
        <v>Twitter for Android</v>
      </c>
      <c r="L1087" s="12">
        <v>811</v>
      </c>
      <c r="M1087" s="12">
        <v>1053</v>
      </c>
      <c r="N1087" s="12">
        <v>8</v>
      </c>
      <c r="O1087" s="14"/>
      <c r="P1087" s="6">
        <v>41955.035405092596</v>
      </c>
      <c r="Q1087" s="11"/>
      <c r="R1087" s="17" t="s">
        <v>1917</v>
      </c>
      <c r="S1087" s="16" t="s">
        <v>1918</v>
      </c>
      <c r="T1087" s="11"/>
      <c r="U1087" s="10" t="str">
        <f>HYPERLINK("https://pbs.twimg.com/profile_images/1025622799283630080/BeM9PIam.jpg","View")</f>
        <v>View</v>
      </c>
    </row>
    <row r="1088" spans="1:21" ht="30.6">
      <c r="A1088" s="6">
        <v>43440.006018518514</v>
      </c>
      <c r="B1088" s="7" t="str">
        <f>HYPERLINK("https://twitter.com/atgcr","@atgcr")</f>
        <v>@atgcr</v>
      </c>
      <c r="C1088" s="8" t="s">
        <v>1721</v>
      </c>
      <c r="D1088" s="9" t="s">
        <v>3967</v>
      </c>
      <c r="E1088" s="10" t="str">
        <f>HYPERLINK("https://twitter.com/atgcr/status/1070454940219383809","1070454940219383809")</f>
        <v>1070454940219383809</v>
      </c>
      <c r="F1088" s="11"/>
      <c r="G1088" s="11"/>
      <c r="H1088" s="11"/>
      <c r="I1088" s="12">
        <v>2</v>
      </c>
      <c r="J1088" s="12">
        <v>1</v>
      </c>
      <c r="K1088" s="13" t="str">
        <f t="shared" si="262"/>
        <v>Twitter for Android</v>
      </c>
      <c r="L1088" s="12">
        <v>1041</v>
      </c>
      <c r="M1088" s="12">
        <v>1480</v>
      </c>
      <c r="N1088" s="12">
        <v>12</v>
      </c>
      <c r="O1088" s="14"/>
      <c r="P1088" s="6">
        <v>40854.613379629627</v>
      </c>
      <c r="Q1088" s="15" t="s">
        <v>618</v>
      </c>
      <c r="R1088" s="18"/>
      <c r="S1088" s="11"/>
      <c r="T1088" s="11"/>
      <c r="U1088" s="10" t="str">
        <f>HYPERLINK("https://pbs.twimg.com/profile_images/1065758340381360128/sOiS6o-Y.jpg","View")</f>
        <v>View</v>
      </c>
    </row>
    <row r="1089" spans="1:21" ht="40.799999999999997">
      <c r="A1089" s="6">
        <v>43440.005023148144</v>
      </c>
      <c r="B1089" s="7" t="str">
        <f>HYPERLINK("https://twitter.com/ivannoval","@ivannoval")</f>
        <v>@ivannoval</v>
      </c>
      <c r="C1089" s="8" t="s">
        <v>3968</v>
      </c>
      <c r="D1089" s="9" t="s">
        <v>3969</v>
      </c>
      <c r="E1089" s="10" t="str">
        <f>HYPERLINK("https://twitter.com/ivannoval/status/1070454580150980611","1070454580150980611")</f>
        <v>1070454580150980611</v>
      </c>
      <c r="F1089" s="11"/>
      <c r="G1089" s="11"/>
      <c r="H1089" s="11"/>
      <c r="I1089" s="12">
        <v>0</v>
      </c>
      <c r="J1089" s="12">
        <v>0</v>
      </c>
      <c r="K1089" s="13" t="str">
        <f t="shared" si="262"/>
        <v>Twitter for Android</v>
      </c>
      <c r="L1089" s="12">
        <v>15</v>
      </c>
      <c r="M1089" s="12">
        <v>97</v>
      </c>
      <c r="N1089" s="12">
        <v>0</v>
      </c>
      <c r="O1089" s="14"/>
      <c r="P1089" s="6">
        <v>43265.466817129629</v>
      </c>
      <c r="Q1089" s="15" t="s">
        <v>3970</v>
      </c>
      <c r="R1089" s="17" t="s">
        <v>3971</v>
      </c>
      <c r="S1089" s="16" t="s">
        <v>3972</v>
      </c>
      <c r="T1089" s="11"/>
      <c r="U1089" s="10" t="str">
        <f>HYPERLINK("https://pbs.twimg.com/profile_images/1070038563335626752/4jGpdqGO.jpg","View")</f>
        <v>View</v>
      </c>
    </row>
    <row r="1090" spans="1:21" ht="30.6">
      <c r="A1090" s="6">
        <v>43440.004375000004</v>
      </c>
      <c r="B1090" s="7" t="str">
        <f>HYPERLINK("https://twitter.com/altamiranoMLG","@altamiranoMLG")</f>
        <v>@altamiranoMLG</v>
      </c>
      <c r="C1090" s="8" t="s">
        <v>3973</v>
      </c>
      <c r="D1090" s="9" t="s">
        <v>3974</v>
      </c>
      <c r="E1090" s="10" t="str">
        <f>HYPERLINK("https://twitter.com/altamiranoMLG/status/1070454345945227264","1070454345945227264")</f>
        <v>1070454345945227264</v>
      </c>
      <c r="F1090" s="16" t="s">
        <v>3975</v>
      </c>
      <c r="G1090" s="11"/>
      <c r="H1090" s="11"/>
      <c r="I1090" s="12">
        <v>12</v>
      </c>
      <c r="J1090" s="12">
        <v>14</v>
      </c>
      <c r="K1090" s="13" t="str">
        <f t="shared" ref="K1090:K1092" si="263">HYPERLINK("http://twitter.com/download/iphone","Twitter for iPhone")</f>
        <v>Twitter for iPhone</v>
      </c>
      <c r="L1090" s="12">
        <v>27040</v>
      </c>
      <c r="M1090" s="12">
        <v>25966</v>
      </c>
      <c r="N1090" s="12">
        <v>103</v>
      </c>
      <c r="O1090" s="14"/>
      <c r="P1090" s="6">
        <v>41501.953414351854</v>
      </c>
      <c r="Q1090" s="15" t="s">
        <v>3976</v>
      </c>
      <c r="R1090" s="17" t="s">
        <v>3977</v>
      </c>
      <c r="S1090" s="16" t="s">
        <v>3978</v>
      </c>
      <c r="T1090" s="11"/>
      <c r="U1090" s="10" t="str">
        <f>HYPERLINK("https://pbs.twimg.com/profile_images/972022450786590720/M_Brz1Da.jpg","View")</f>
        <v>View</v>
      </c>
    </row>
    <row r="1091" spans="1:21" ht="30.6">
      <c r="A1091" s="6">
        <v>43440.004143518519</v>
      </c>
      <c r="B1091" s="7" t="str">
        <f>HYPERLINK("https://twitter.com/rafikiscope","@rafikiscope")</f>
        <v>@rafikiscope</v>
      </c>
      <c r="C1091" s="8" t="s">
        <v>3979</v>
      </c>
      <c r="D1091" s="9" t="s">
        <v>3980</v>
      </c>
      <c r="E1091" s="10" t="str">
        <f>HYPERLINK("https://twitter.com/rafikiscope/status/1070454261547454470","1070454261547454470")</f>
        <v>1070454261547454470</v>
      </c>
      <c r="F1091" s="11"/>
      <c r="G1091" s="11"/>
      <c r="H1091" s="11"/>
      <c r="I1091" s="12">
        <v>0</v>
      </c>
      <c r="J1091" s="12">
        <v>1</v>
      </c>
      <c r="K1091" s="13" t="str">
        <f t="shared" si="263"/>
        <v>Twitter for iPhone</v>
      </c>
      <c r="L1091" s="12">
        <v>1709</v>
      </c>
      <c r="M1091" s="12">
        <v>982</v>
      </c>
      <c r="N1091" s="12">
        <v>98</v>
      </c>
      <c r="O1091" s="14"/>
      <c r="P1091" s="6">
        <v>39608.822453703702</v>
      </c>
      <c r="Q1091" s="15" t="s">
        <v>724</v>
      </c>
      <c r="R1091" s="17" t="s">
        <v>3981</v>
      </c>
      <c r="S1091" s="16" t="s">
        <v>3982</v>
      </c>
      <c r="T1091" s="11"/>
      <c r="U1091" s="10" t="str">
        <f>HYPERLINK("https://pbs.twimg.com/profile_images/1069033201346256896/FDUnTdZS.jpg","View")</f>
        <v>View</v>
      </c>
    </row>
    <row r="1092" spans="1:21" ht="30.6">
      <c r="A1092" s="6">
        <v>43440.003414351857</v>
      </c>
      <c r="B1092" s="7" t="str">
        <f>HYPERLINK("https://twitter.com/jesusacmr","@jesusacmr")</f>
        <v>@jesusacmr</v>
      </c>
      <c r="C1092" s="8" t="s">
        <v>3983</v>
      </c>
      <c r="D1092" s="9" t="s">
        <v>3984</v>
      </c>
      <c r="E1092" s="10" t="str">
        <f>HYPERLINK("https://twitter.com/jesusacmr/status/1070453995733438464","1070453995733438464")</f>
        <v>1070453995733438464</v>
      </c>
      <c r="F1092" s="11"/>
      <c r="G1092" s="11"/>
      <c r="H1092" s="11"/>
      <c r="I1092" s="12">
        <v>2</v>
      </c>
      <c r="J1092" s="12">
        <v>4</v>
      </c>
      <c r="K1092" s="13" t="str">
        <f t="shared" si="263"/>
        <v>Twitter for iPhone</v>
      </c>
      <c r="L1092" s="12">
        <v>35</v>
      </c>
      <c r="M1092" s="12">
        <v>196</v>
      </c>
      <c r="N1092" s="12">
        <v>0</v>
      </c>
      <c r="O1092" s="14"/>
      <c r="P1092" s="6">
        <v>43299.629571759258</v>
      </c>
      <c r="Q1092" s="15" t="s">
        <v>3985</v>
      </c>
      <c r="R1092" s="17" t="s">
        <v>3986</v>
      </c>
      <c r="S1092" s="11"/>
      <c r="T1092" s="11"/>
      <c r="U1092" s="10" t="str">
        <f>HYPERLINK("https://pbs.twimg.com/profile_images/1040328741791195137/fexRzKqS.jpg","View")</f>
        <v>View</v>
      </c>
    </row>
    <row r="1093" spans="1:21" ht="51">
      <c r="A1093" s="6">
        <v>43440.001388888893</v>
      </c>
      <c r="B1093" s="7" t="str">
        <f>HYPERLINK("https://twitter.com/bitMomentum","@bitMomentum")</f>
        <v>@bitMomentum</v>
      </c>
      <c r="C1093" s="8" t="s">
        <v>82</v>
      </c>
      <c r="D1093" s="9" t="s">
        <v>3987</v>
      </c>
      <c r="E1093" s="10" t="str">
        <f>HYPERLINK("https://twitter.com/bitMomentum/status/1070453261277249536","1070453261277249536")</f>
        <v>1070453261277249536</v>
      </c>
      <c r="F1093" s="11"/>
      <c r="G1093" s="11"/>
      <c r="H1093" s="11"/>
      <c r="I1093" s="12">
        <v>0</v>
      </c>
      <c r="J1093" s="12">
        <v>0</v>
      </c>
      <c r="K1093" s="13" t="str">
        <f>HYPERLINK("http://www.bitmomentum.com","bitMomentum Bot")</f>
        <v>bitMomentum Bot</v>
      </c>
      <c r="L1093" s="12">
        <v>10253</v>
      </c>
      <c r="M1093" s="12">
        <v>1059</v>
      </c>
      <c r="N1093" s="12">
        <v>263</v>
      </c>
      <c r="O1093" s="14"/>
      <c r="P1093" s="6">
        <v>41608.667511574073</v>
      </c>
      <c r="Q1093" s="11"/>
      <c r="R1093" s="17" t="s">
        <v>84</v>
      </c>
      <c r="S1093" s="16" t="s">
        <v>85</v>
      </c>
      <c r="T1093" s="11"/>
      <c r="U1093" s="10" t="str">
        <f>HYPERLINK("https://pbs.twimg.com/profile_images/378800000862185241/20ij2H3u.png","View")</f>
        <v>View</v>
      </c>
    </row>
    <row r="1094" spans="1:21" ht="51">
      <c r="A1094" s="6">
        <v>43440.001296296294</v>
      </c>
      <c r="B1094" s="7" t="str">
        <f>HYPERLINK("https://twitter.com/El_tivoli","@El_tivoli")</f>
        <v>@El_tivoli</v>
      </c>
      <c r="C1094" s="8" t="s">
        <v>3988</v>
      </c>
      <c r="D1094" s="9" t="s">
        <v>3989</v>
      </c>
      <c r="E1094" s="10" t="str">
        <f>HYPERLINK("https://twitter.com/El_tivoli/status/1070453227416625160","1070453227416625160")</f>
        <v>1070453227416625160</v>
      </c>
      <c r="F1094" s="16" t="s">
        <v>3990</v>
      </c>
      <c r="G1094" s="11"/>
      <c r="H1094" s="11"/>
      <c r="I1094" s="12">
        <v>0</v>
      </c>
      <c r="J1094" s="12">
        <v>0</v>
      </c>
      <c r="K1094" s="13" t="str">
        <f>HYPERLINK("http://twitter.com/#!/download/ipad","Twitter for iPad")</f>
        <v>Twitter for iPad</v>
      </c>
      <c r="L1094" s="12">
        <v>1</v>
      </c>
      <c r="M1094" s="12">
        <v>1</v>
      </c>
      <c r="N1094" s="12">
        <v>1</v>
      </c>
      <c r="O1094" s="14"/>
      <c r="P1094" s="6">
        <v>41577.754201388889</v>
      </c>
      <c r="Q1094" s="11"/>
      <c r="R1094" s="18"/>
      <c r="S1094" s="11"/>
      <c r="T1094" s="11"/>
      <c r="U1094" s="10" t="str">
        <f>HYPERLINK("https://pbs.twimg.com/profile_images/908841103247527936/nrOUpFNz.jpg","View")</f>
        <v>View</v>
      </c>
    </row>
    <row r="1095" spans="1:21" ht="51">
      <c r="A1095" s="6">
        <v>43440.000694444447</v>
      </c>
      <c r="B1095" s="7" t="str">
        <f>HYPERLINK("https://twitter.com/bitMomentum","@bitMomentum")</f>
        <v>@bitMomentum</v>
      </c>
      <c r="C1095" s="8" t="s">
        <v>82</v>
      </c>
      <c r="D1095" s="9" t="s">
        <v>3991</v>
      </c>
      <c r="E1095" s="10" t="str">
        <f>HYPERLINK("https://twitter.com/bitMomentum/status/1070453009526808577","1070453009526808577")</f>
        <v>1070453009526808577</v>
      </c>
      <c r="F1095" s="11"/>
      <c r="G1095" s="11"/>
      <c r="H1095" s="11"/>
      <c r="I1095" s="12">
        <v>0</v>
      </c>
      <c r="J1095" s="12">
        <v>0</v>
      </c>
      <c r="K1095" s="13" t="str">
        <f>HYPERLINK("http://www.bitmomentum.com","bitMomentum Bot")</f>
        <v>bitMomentum Bot</v>
      </c>
      <c r="L1095" s="12">
        <v>10253</v>
      </c>
      <c r="M1095" s="12">
        <v>1059</v>
      </c>
      <c r="N1095" s="12">
        <v>263</v>
      </c>
      <c r="O1095" s="14"/>
      <c r="P1095" s="6">
        <v>41608.667511574073</v>
      </c>
      <c r="Q1095" s="11"/>
      <c r="R1095" s="17" t="s">
        <v>84</v>
      </c>
      <c r="S1095" s="16" t="s">
        <v>85</v>
      </c>
      <c r="T1095" s="11"/>
      <c r="U1095" s="10" t="str">
        <f>HYPERLINK("https://pbs.twimg.com/profile_images/378800000862185241/20ij2H3u.png","View")</f>
        <v>View</v>
      </c>
    </row>
    <row r="1096" spans="1:21" ht="40.799999999999997">
      <c r="A1096" s="6">
        <v>43439.999560185184</v>
      </c>
      <c r="B1096" s="7" t="str">
        <f>HYPERLINK("https://twitter.com/antsomorma","@antsomorma")</f>
        <v>@antsomorma</v>
      </c>
      <c r="C1096" s="8" t="s">
        <v>3992</v>
      </c>
      <c r="D1096" s="9" t="s">
        <v>3993</v>
      </c>
      <c r="E1096" s="10" t="str">
        <f>HYPERLINK("https://twitter.com/antsomorma/status/1070452598971482112","1070452598971482112")</f>
        <v>1070452598971482112</v>
      </c>
      <c r="F1096" s="11"/>
      <c r="G1096" s="11"/>
      <c r="H1096" s="11"/>
      <c r="I1096" s="12">
        <v>1</v>
      </c>
      <c r="J1096" s="12">
        <v>4</v>
      </c>
      <c r="K1096" s="13" t="str">
        <f>HYPERLINK("http://twitter.com/download/android","Twitter for Android")</f>
        <v>Twitter for Android</v>
      </c>
      <c r="L1096" s="12">
        <v>616</v>
      </c>
      <c r="M1096" s="12">
        <v>300</v>
      </c>
      <c r="N1096" s="12">
        <v>32</v>
      </c>
      <c r="O1096" s="14"/>
      <c r="P1096" s="6">
        <v>40646.946736111109</v>
      </c>
      <c r="Q1096" s="15" t="s">
        <v>501</v>
      </c>
      <c r="R1096" s="17" t="s">
        <v>3994</v>
      </c>
      <c r="S1096" s="11"/>
      <c r="T1096" s="11"/>
      <c r="U1096" s="10" t="str">
        <f>HYPERLINK("https://pbs.twimg.com/profile_images/822891655766409219/AYSfKEyo.jpg","View")</f>
        <v>View</v>
      </c>
    </row>
    <row r="1097" spans="1:21" ht="40.799999999999997">
      <c r="A1097" s="6">
        <v>43439.997731481482</v>
      </c>
      <c r="B1097" s="7" t="str">
        <f>HYPERLINK("https://twitter.com/ivanedlm","@ivanedlm")</f>
        <v>@ivanedlm</v>
      </c>
      <c r="C1097" s="8" t="s">
        <v>22</v>
      </c>
      <c r="D1097" s="9" t="s">
        <v>3995</v>
      </c>
      <c r="E1097" s="10" t="str">
        <f>HYPERLINK("https://twitter.com/ivanedlm/status/1070451935826898945","1070451935826898945")</f>
        <v>1070451935826898945</v>
      </c>
      <c r="F1097" s="16" t="s">
        <v>3996</v>
      </c>
      <c r="G1097" s="11"/>
      <c r="H1097" s="11"/>
      <c r="I1097" s="12">
        <v>270</v>
      </c>
      <c r="J1097" s="12">
        <v>497</v>
      </c>
      <c r="K1097" s="13" t="str">
        <f>HYPERLINK("http://twitter.com/download/iphone","Twitter for iPhone")</f>
        <v>Twitter for iPhone</v>
      </c>
      <c r="L1097" s="12">
        <v>24428</v>
      </c>
      <c r="M1097" s="12">
        <v>2375</v>
      </c>
      <c r="N1097" s="12">
        <v>215</v>
      </c>
      <c r="O1097" s="14"/>
      <c r="P1097" s="6">
        <v>39984.518807870372</v>
      </c>
      <c r="Q1097" s="15" t="s">
        <v>197</v>
      </c>
      <c r="R1097" s="17" t="s">
        <v>369</v>
      </c>
      <c r="S1097" s="11"/>
      <c r="T1097" s="11"/>
      <c r="U1097" s="10" t="str">
        <f>HYPERLINK("https://pbs.twimg.com/profile_images/909885302491230208/UESaRSj_.jpg","View")</f>
        <v>View</v>
      </c>
    </row>
    <row r="1098" spans="1:21" ht="61.2">
      <c r="A1098" s="6">
        <v>43439.997048611112</v>
      </c>
      <c r="B1098" s="7" t="str">
        <f>HYPERLINK("https://twitter.com/mateoperezsaiz","@mateoperezsaiz")</f>
        <v>@mateoperezsaiz</v>
      </c>
      <c r="C1098" s="8" t="s">
        <v>3997</v>
      </c>
      <c r="D1098" s="9" t="s">
        <v>3998</v>
      </c>
      <c r="E1098" s="10" t="str">
        <f>HYPERLINK("https://twitter.com/mateoperezsaiz/status/1070451689319268353","1070451689319268353")</f>
        <v>1070451689319268353</v>
      </c>
      <c r="F1098" s="15" t="s">
        <v>3999</v>
      </c>
      <c r="G1098" s="11"/>
      <c r="H1098" s="11"/>
      <c r="I1098" s="12">
        <v>0</v>
      </c>
      <c r="J1098" s="12">
        <v>1</v>
      </c>
      <c r="K1098" s="13" t="str">
        <f t="shared" ref="K1098:K1099" si="264">HYPERLINK("http://twitter.com/download/android","Twitter for Android")</f>
        <v>Twitter for Android</v>
      </c>
      <c r="L1098" s="12">
        <v>495</v>
      </c>
      <c r="M1098" s="12">
        <v>444</v>
      </c>
      <c r="N1098" s="12">
        <v>3</v>
      </c>
      <c r="O1098" s="14"/>
      <c r="P1098" s="6">
        <v>40872.88921296296</v>
      </c>
      <c r="Q1098" s="15" t="s">
        <v>4000</v>
      </c>
      <c r="R1098" s="17" t="s">
        <v>4001</v>
      </c>
      <c r="S1098" s="11"/>
      <c r="T1098" s="11"/>
      <c r="U1098" s="10" t="str">
        <f>HYPERLINK("https://pbs.twimg.com/profile_images/863520956945494017/B0HiDojS.jpg","View")</f>
        <v>View</v>
      </c>
    </row>
    <row r="1099" spans="1:21" ht="30.6">
      <c r="A1099" s="6">
        <v>43439.992905092593</v>
      </c>
      <c r="B1099" s="7" t="str">
        <f>HYPERLINK("https://twitter.com/Fran_lliones","@Fran_lliones")</f>
        <v>@Fran_lliones</v>
      </c>
      <c r="C1099" s="8" t="s">
        <v>4002</v>
      </c>
      <c r="D1099" s="9" t="s">
        <v>4003</v>
      </c>
      <c r="E1099" s="10" t="str">
        <f>HYPERLINK("https://twitter.com/Fran_lliones/status/1070450188916064256","1070450188916064256")</f>
        <v>1070450188916064256</v>
      </c>
      <c r="F1099" s="11"/>
      <c r="G1099" s="11"/>
      <c r="H1099" s="11"/>
      <c r="I1099" s="12">
        <v>0</v>
      </c>
      <c r="J1099" s="12">
        <v>1</v>
      </c>
      <c r="K1099" s="13" t="str">
        <f t="shared" si="264"/>
        <v>Twitter for Android</v>
      </c>
      <c r="L1099" s="12">
        <v>332</v>
      </c>
      <c r="M1099" s="12">
        <v>136</v>
      </c>
      <c r="N1099" s="12">
        <v>9</v>
      </c>
      <c r="O1099" s="14"/>
      <c r="P1099" s="6">
        <v>42894.972858796296</v>
      </c>
      <c r="Q1099" s="15" t="s">
        <v>197</v>
      </c>
      <c r="R1099" s="17" t="s">
        <v>4004</v>
      </c>
      <c r="S1099" s="11"/>
      <c r="T1099" s="11"/>
      <c r="U1099" s="10" t="str">
        <f>HYPERLINK("https://pbs.twimg.com/profile_images/1069260274543284224/lpx8slOf.jpg","View")</f>
        <v>View</v>
      </c>
    </row>
    <row r="1100" spans="1:21" ht="71.400000000000006">
      <c r="A1100" s="6">
        <v>43439.990694444445</v>
      </c>
      <c r="B1100" s="7" t="str">
        <f>HYPERLINK("https://twitter.com/Pedrobayonas1","@Pedrobayonas1")</f>
        <v>@Pedrobayonas1</v>
      </c>
      <c r="C1100" s="8" t="s">
        <v>3286</v>
      </c>
      <c r="D1100" s="9" t="s">
        <v>4005</v>
      </c>
      <c r="E1100" s="10" t="str">
        <f>HYPERLINK("https://twitter.com/Pedrobayonas1/status/1070449385476157440","1070449385476157440")</f>
        <v>1070449385476157440</v>
      </c>
      <c r="F1100" s="16" t="s">
        <v>2854</v>
      </c>
      <c r="G1100" s="16" t="s">
        <v>2855</v>
      </c>
      <c r="H1100" s="11"/>
      <c r="I1100" s="12">
        <v>4</v>
      </c>
      <c r="J1100" s="12">
        <v>16</v>
      </c>
      <c r="K1100" s="13" t="str">
        <f>HYPERLINK("http://twitter.com/download/iphone","Twitter for iPhone")</f>
        <v>Twitter for iPhone</v>
      </c>
      <c r="L1100" s="12">
        <v>244</v>
      </c>
      <c r="M1100" s="12">
        <v>206</v>
      </c>
      <c r="N1100" s="12">
        <v>2</v>
      </c>
      <c r="O1100" s="14"/>
      <c r="P1100" s="6">
        <v>43184.661851851852</v>
      </c>
      <c r="Q1100" s="11"/>
      <c r="R1100" s="17" t="s">
        <v>3289</v>
      </c>
      <c r="S1100" s="11"/>
      <c r="T1100" s="11"/>
      <c r="U1100" s="10" t="str">
        <f>HYPERLINK("https://pbs.twimg.com/profile_images/1032571234800807939/Lj2sowPF.jpg","View")</f>
        <v>View</v>
      </c>
    </row>
    <row r="1101" spans="1:21" ht="40.799999999999997">
      <c r="A1101" s="6">
        <v>43439.988761574074</v>
      </c>
      <c r="B1101" s="7" t="str">
        <f>HYPERLINK("https://twitter.com/Francescalafres","@Francescalafres")</f>
        <v>@Francescalafres</v>
      </c>
      <c r="C1101" s="8" t="s">
        <v>4006</v>
      </c>
      <c r="D1101" s="9" t="s">
        <v>4007</v>
      </c>
      <c r="E1101" s="10" t="str">
        <f>HYPERLINK("https://twitter.com/Francescalafres/status/1070448687149649920","1070448687149649920")</f>
        <v>1070448687149649920</v>
      </c>
      <c r="F1101" s="11"/>
      <c r="G1101" s="11"/>
      <c r="H1101" s="11"/>
      <c r="I1101" s="12">
        <v>0</v>
      </c>
      <c r="J1101" s="12">
        <v>0</v>
      </c>
      <c r="K1101" s="13" t="str">
        <f>HYPERLINK("http://twitter.com/download/android","Twitter for Android")</f>
        <v>Twitter for Android</v>
      </c>
      <c r="L1101" s="12">
        <v>30</v>
      </c>
      <c r="M1101" s="12">
        <v>201</v>
      </c>
      <c r="N1101" s="12">
        <v>0</v>
      </c>
      <c r="O1101" s="14"/>
      <c r="P1101" s="6">
        <v>43358.932083333333</v>
      </c>
      <c r="Q1101" s="11"/>
      <c r="R1101" s="17" t="s">
        <v>4008</v>
      </c>
      <c r="S1101" s="11"/>
      <c r="T1101" s="11"/>
      <c r="U1101" s="10" t="str">
        <f>HYPERLINK("https://pbs.twimg.com/profile_images/1041062290496339969/ZFpYAbDm.jpg","View")</f>
        <v>View</v>
      </c>
    </row>
    <row r="1102" spans="1:21" ht="40.799999999999997">
      <c r="A1102" s="6">
        <v>43439.988182870366</v>
      </c>
      <c r="B1102" s="7" t="str">
        <f>HYPERLINK("https://twitter.com/Rsanz_solo","@Rsanz_solo")</f>
        <v>@Rsanz_solo</v>
      </c>
      <c r="C1102" s="8" t="s">
        <v>4009</v>
      </c>
      <c r="D1102" s="9" t="s">
        <v>4010</v>
      </c>
      <c r="E1102" s="10" t="str">
        <f>HYPERLINK("https://twitter.com/Rsanz_solo/status/1070448475232456709","1070448475232456709")</f>
        <v>1070448475232456709</v>
      </c>
      <c r="F1102" s="11"/>
      <c r="G1102" s="11"/>
      <c r="H1102" s="11"/>
      <c r="I1102" s="12">
        <v>0</v>
      </c>
      <c r="J1102" s="12">
        <v>0</v>
      </c>
      <c r="K1102" s="13" t="str">
        <f>HYPERLINK("http://www.facebook.com/twitter","Facebook")</f>
        <v>Facebook</v>
      </c>
      <c r="L1102" s="12">
        <v>26</v>
      </c>
      <c r="M1102" s="12">
        <v>186</v>
      </c>
      <c r="N1102" s="12">
        <v>0</v>
      </c>
      <c r="O1102" s="14"/>
      <c r="P1102" s="6">
        <v>41631.586840277778</v>
      </c>
      <c r="Q1102" s="15" t="s">
        <v>4011</v>
      </c>
      <c r="R1102" s="17" t="s">
        <v>4012</v>
      </c>
      <c r="S1102" s="16" t="s">
        <v>4013</v>
      </c>
      <c r="T1102" s="11"/>
      <c r="U1102" s="10" t="str">
        <f>HYPERLINK("https://pbs.twimg.com/profile_images/1043531774322782208/X7cGwM9h.jpg","View")</f>
        <v>View</v>
      </c>
    </row>
    <row r="1103" spans="1:21" ht="91.8">
      <c r="A1103" s="6">
        <v>43439.987233796295</v>
      </c>
      <c r="B1103" s="7" t="str">
        <f>HYPERLINK("https://twitter.com/M_PastorGalan","@M_PastorGalan")</f>
        <v>@M_PastorGalan</v>
      </c>
      <c r="C1103" s="8" t="s">
        <v>4014</v>
      </c>
      <c r="D1103" s="9" t="s">
        <v>4015</v>
      </c>
      <c r="E1103" s="10" t="str">
        <f>HYPERLINK("https://twitter.com/M_PastorGalan/status/1070448133241479169","1070448133241479169")</f>
        <v>1070448133241479169</v>
      </c>
      <c r="F1103" s="16" t="s">
        <v>4016</v>
      </c>
      <c r="G1103" s="16" t="s">
        <v>4017</v>
      </c>
      <c r="H1103" s="11"/>
      <c r="I1103" s="12">
        <v>1</v>
      </c>
      <c r="J1103" s="12">
        <v>1</v>
      </c>
      <c r="K1103" s="13" t="str">
        <f t="shared" ref="K1103:K1107" si="265">HYPERLINK("http://twitter.com/download/android","Twitter for Android")</f>
        <v>Twitter for Android</v>
      </c>
      <c r="L1103" s="12">
        <v>323</v>
      </c>
      <c r="M1103" s="12">
        <v>314</v>
      </c>
      <c r="N1103" s="12">
        <v>6</v>
      </c>
      <c r="O1103" s="14"/>
      <c r="P1103" s="6">
        <v>41923.149583333332</v>
      </c>
      <c r="Q1103" s="11"/>
      <c r="R1103" s="17" t="s">
        <v>4018</v>
      </c>
      <c r="S1103" s="16" t="s">
        <v>4019</v>
      </c>
      <c r="T1103" s="11"/>
      <c r="U1103" s="10" t="str">
        <f>HYPERLINK("https://pbs.twimg.com/profile_images/1047295863024967681/euArngya.jpg","View")</f>
        <v>View</v>
      </c>
    </row>
    <row r="1104" spans="1:21" ht="51">
      <c r="A1104" s="6">
        <v>43439.986226851848</v>
      </c>
      <c r="B1104" s="7" t="str">
        <f>HYPERLINK("https://twitter.com/Francescalafres","@Francescalafres")</f>
        <v>@Francescalafres</v>
      </c>
      <c r="C1104" s="8" t="s">
        <v>4006</v>
      </c>
      <c r="D1104" s="9" t="s">
        <v>4020</v>
      </c>
      <c r="E1104" s="10" t="str">
        <f>HYPERLINK("https://twitter.com/Francescalafres/status/1070447770018942976","1070447770018942976")</f>
        <v>1070447770018942976</v>
      </c>
      <c r="F1104" s="11"/>
      <c r="G1104" s="11"/>
      <c r="H1104" s="11"/>
      <c r="I1104" s="12">
        <v>0</v>
      </c>
      <c r="J1104" s="12">
        <v>2</v>
      </c>
      <c r="K1104" s="13" t="str">
        <f t="shared" si="265"/>
        <v>Twitter for Android</v>
      </c>
      <c r="L1104" s="12">
        <v>30</v>
      </c>
      <c r="M1104" s="12">
        <v>201</v>
      </c>
      <c r="N1104" s="12">
        <v>0</v>
      </c>
      <c r="O1104" s="14"/>
      <c r="P1104" s="6">
        <v>43358.932083333333</v>
      </c>
      <c r="Q1104" s="11"/>
      <c r="R1104" s="17" t="s">
        <v>4008</v>
      </c>
      <c r="S1104" s="11"/>
      <c r="T1104" s="11"/>
      <c r="U1104" s="10" t="str">
        <f>HYPERLINK("https://pbs.twimg.com/profile_images/1041062290496339969/ZFpYAbDm.jpg","View")</f>
        <v>View</v>
      </c>
    </row>
    <row r="1105" spans="1:21" ht="91.8">
      <c r="A1105" s="6">
        <v>43439.985497685186</v>
      </c>
      <c r="B1105" s="7" t="str">
        <f>HYPERLINK("https://twitter.com/construyexitos","@construyexitos")</f>
        <v>@construyexitos</v>
      </c>
      <c r="C1105" s="8" t="s">
        <v>4021</v>
      </c>
      <c r="D1105" s="9" t="s">
        <v>4022</v>
      </c>
      <c r="E1105" s="10" t="str">
        <f>HYPERLINK("https://twitter.com/construyexitos/status/1070447501973577728","1070447501973577728")</f>
        <v>1070447501973577728</v>
      </c>
      <c r="F1105" s="15" t="s">
        <v>4023</v>
      </c>
      <c r="G1105" s="11"/>
      <c r="H1105" s="11"/>
      <c r="I1105" s="12">
        <v>5</v>
      </c>
      <c r="J1105" s="12">
        <v>2</v>
      </c>
      <c r="K1105" s="13" t="str">
        <f t="shared" si="265"/>
        <v>Twitter for Android</v>
      </c>
      <c r="L1105" s="12">
        <v>4456</v>
      </c>
      <c r="M1105" s="12">
        <v>4545</v>
      </c>
      <c r="N1105" s="12">
        <v>16</v>
      </c>
      <c r="O1105" s="14"/>
      <c r="P1105" s="6">
        <v>40549.987187500003</v>
      </c>
      <c r="Q1105" s="11"/>
      <c r="R1105" s="17" t="s">
        <v>4024</v>
      </c>
      <c r="S1105" s="11"/>
      <c r="T1105" s="11"/>
      <c r="U1105" s="10" t="str">
        <f>HYPERLINK("https://pbs.twimg.com/profile_images/2892203399/6a265595e6aeedf9586886d1b1191708.jpeg","View")</f>
        <v>View</v>
      </c>
    </row>
    <row r="1106" spans="1:21" ht="40.799999999999997">
      <c r="A1106" s="6">
        <v>43439.985451388886</v>
      </c>
      <c r="B1106" s="7" t="str">
        <f>HYPERLINK("https://twitter.com/MentonAmericano","@MentonAmericano")</f>
        <v>@MentonAmericano</v>
      </c>
      <c r="C1106" s="8" t="s">
        <v>4025</v>
      </c>
      <c r="D1106" s="9" t="s">
        <v>4026</v>
      </c>
      <c r="E1106" s="10" t="str">
        <f>HYPERLINK("https://twitter.com/MentonAmericano/status/1070447487784226816","1070447487784226816")</f>
        <v>1070447487784226816</v>
      </c>
      <c r="F1106" s="11"/>
      <c r="G1106" s="11"/>
      <c r="H1106" s="11"/>
      <c r="I1106" s="12">
        <v>0</v>
      </c>
      <c r="J1106" s="12">
        <v>0</v>
      </c>
      <c r="K1106" s="13" t="str">
        <f t="shared" si="265"/>
        <v>Twitter for Android</v>
      </c>
      <c r="L1106" s="12">
        <v>44</v>
      </c>
      <c r="M1106" s="12">
        <v>169</v>
      </c>
      <c r="N1106" s="12">
        <v>0</v>
      </c>
      <c r="O1106" s="14"/>
      <c r="P1106" s="6">
        <v>43320.738217592589</v>
      </c>
      <c r="Q1106" s="11"/>
      <c r="R1106" s="18"/>
      <c r="S1106" s="11"/>
      <c r="T1106" s="11"/>
      <c r="U1106" s="10" t="str">
        <f>HYPERLINK("https://pbs.twimg.com/profile_images/1058015464901824512/2dKN1XX1.jpg","View")</f>
        <v>View</v>
      </c>
    </row>
    <row r="1107" spans="1:21" ht="40.799999999999997">
      <c r="A1107" s="6">
        <v>43439.981944444444</v>
      </c>
      <c r="B1107" s="7" t="str">
        <f>HYPERLINK("https://twitter.com/bermeana","@bermeana")</f>
        <v>@bermeana</v>
      </c>
      <c r="C1107" s="8" t="s">
        <v>4027</v>
      </c>
      <c r="D1107" s="9" t="s">
        <v>4028</v>
      </c>
      <c r="E1107" s="10" t="str">
        <f>HYPERLINK("https://twitter.com/bermeana/status/1070446215966412801","1070446215966412801")</f>
        <v>1070446215966412801</v>
      </c>
      <c r="F1107" s="16" t="s">
        <v>4029</v>
      </c>
      <c r="G1107" s="11"/>
      <c r="H1107" s="11"/>
      <c r="I1107" s="12">
        <v>0</v>
      </c>
      <c r="J1107" s="12">
        <v>0</v>
      </c>
      <c r="K1107" s="13" t="str">
        <f t="shared" si="265"/>
        <v>Twitter for Android</v>
      </c>
      <c r="L1107" s="12">
        <v>605</v>
      </c>
      <c r="M1107" s="12">
        <v>953</v>
      </c>
      <c r="N1107" s="12">
        <v>7</v>
      </c>
      <c r="O1107" s="14"/>
      <c r="P1107" s="6">
        <v>40574.873182870375</v>
      </c>
      <c r="Q1107" s="15" t="s">
        <v>4030</v>
      </c>
      <c r="R1107" s="17" t="s">
        <v>4031</v>
      </c>
      <c r="S1107" s="16" t="s">
        <v>4032</v>
      </c>
      <c r="T1107" s="11"/>
      <c r="U1107" s="10" t="str">
        <f>HYPERLINK("https://pbs.twimg.com/profile_images/1010459657733857280/nIPXmJg0.jpg","View")</f>
        <v>View</v>
      </c>
    </row>
    <row r="1108" spans="1:21" ht="20.399999999999999">
      <c r="A1108" s="6">
        <v>43439.981296296297</v>
      </c>
      <c r="B1108" s="7" t="str">
        <f>HYPERLINK("https://twitter.com/haba_tar","@haba_tar")</f>
        <v>@haba_tar</v>
      </c>
      <c r="C1108" s="8" t="s">
        <v>1515</v>
      </c>
      <c r="D1108" s="9" t="s">
        <v>4033</v>
      </c>
      <c r="E1108" s="10" t="str">
        <f>HYPERLINK("https://twitter.com/haba_tar/status/1070445980988948485","1070445980988948485")</f>
        <v>1070445980988948485</v>
      </c>
      <c r="F1108" s="16" t="s">
        <v>3242</v>
      </c>
      <c r="G1108" s="11"/>
      <c r="H1108" s="11"/>
      <c r="I1108" s="12">
        <v>0</v>
      </c>
      <c r="J1108" s="12">
        <v>0</v>
      </c>
      <c r="K1108" s="13" t="str">
        <f>HYPERLINK("https://mobile.twitter.com","Twitter Lite")</f>
        <v>Twitter Lite</v>
      </c>
      <c r="L1108" s="12">
        <v>2168</v>
      </c>
      <c r="M1108" s="12">
        <v>2433</v>
      </c>
      <c r="N1108" s="12">
        <v>18</v>
      </c>
      <c r="O1108" s="14"/>
      <c r="P1108" s="6">
        <v>41986.027986111112</v>
      </c>
      <c r="Q1108" s="15" t="s">
        <v>712</v>
      </c>
      <c r="R1108" s="17" t="s">
        <v>1518</v>
      </c>
      <c r="S1108" s="11"/>
      <c r="T1108" s="11"/>
      <c r="U1108" s="10" t="str">
        <f>HYPERLINK("https://pbs.twimg.com/profile_images/744252301892784128/O5VgANzt.jpg","View")</f>
        <v>View</v>
      </c>
    </row>
    <row r="1109" spans="1:21" ht="40.799999999999997">
      <c r="A1109" s="6">
        <v>43439.981064814812</v>
      </c>
      <c r="B1109" s="7" t="str">
        <f>HYPERLINK("https://twitter.com/activistMONGUER","@activistMONGUER")</f>
        <v>@activistMONGUER</v>
      </c>
      <c r="C1109" s="8" t="s">
        <v>4034</v>
      </c>
      <c r="D1109" s="9" t="s">
        <v>4035</v>
      </c>
      <c r="E1109" s="10" t="str">
        <f>HYPERLINK("https://twitter.com/activistMONGUER/status/1070445896515624966","1070445896515624966")</f>
        <v>1070445896515624966</v>
      </c>
      <c r="F1109" s="11"/>
      <c r="G1109" s="11"/>
      <c r="H1109" s="11"/>
      <c r="I1109" s="12">
        <v>0</v>
      </c>
      <c r="J1109" s="12">
        <v>0</v>
      </c>
      <c r="K1109" s="13" t="str">
        <f t="shared" ref="K1109:K1112" si="266">HYPERLINK("http://twitter.com/download/android","Twitter for Android")</f>
        <v>Twitter for Android</v>
      </c>
      <c r="L1109" s="12">
        <v>68</v>
      </c>
      <c r="M1109" s="12">
        <v>177</v>
      </c>
      <c r="N1109" s="12">
        <v>3</v>
      </c>
      <c r="O1109" s="14"/>
      <c r="P1109" s="6">
        <v>40822.396585648152</v>
      </c>
      <c r="Q1109" s="11"/>
      <c r="R1109" s="18"/>
      <c r="S1109" s="11"/>
      <c r="T1109" s="11"/>
      <c r="U1109" s="10" t="str">
        <f>HYPERLINK("https://pbs.twimg.com/profile_images/740850764713742337/TfJ87usO.jpg","View")</f>
        <v>View</v>
      </c>
    </row>
    <row r="1110" spans="1:21" ht="20.399999999999999">
      <c r="A1110" s="6">
        <v>43439.980844907404</v>
      </c>
      <c r="B1110" s="7" t="str">
        <f>HYPERLINK("https://twitter.com/riojavioleta","@riojavioleta")</f>
        <v>@riojavioleta</v>
      </c>
      <c r="C1110" s="8" t="s">
        <v>4036</v>
      </c>
      <c r="D1110" s="9" t="s">
        <v>4037</v>
      </c>
      <c r="E1110" s="10" t="str">
        <f>HYPERLINK("https://twitter.com/riojavioleta/status/1070445817545326592","1070445817545326592")</f>
        <v>1070445817545326592</v>
      </c>
      <c r="F1110" s="11"/>
      <c r="G1110" s="16" t="s">
        <v>4038</v>
      </c>
      <c r="H1110" s="11"/>
      <c r="I1110" s="12">
        <v>24</v>
      </c>
      <c r="J1110" s="12">
        <v>31</v>
      </c>
      <c r="K1110" s="13" t="str">
        <f t="shared" si="266"/>
        <v>Twitter for Android</v>
      </c>
      <c r="L1110" s="12">
        <v>3742</v>
      </c>
      <c r="M1110" s="12">
        <v>4146</v>
      </c>
      <c r="N1110" s="12">
        <v>89</v>
      </c>
      <c r="O1110" s="14"/>
      <c r="P1110" s="6">
        <v>41696.096516203703</v>
      </c>
      <c r="Q1110" s="11"/>
      <c r="R1110" s="17" t="s">
        <v>4039</v>
      </c>
      <c r="S1110" s="16" t="s">
        <v>4040</v>
      </c>
      <c r="T1110" s="11"/>
      <c r="U1110" s="10" t="str">
        <f>HYPERLINK("https://pbs.twimg.com/profile_images/944733483519434752/QTlq6a9m.jpg","View")</f>
        <v>View</v>
      </c>
    </row>
    <row r="1111" spans="1:21" ht="61.2">
      <c r="A1111" s="6">
        <v>43439.979664351849</v>
      </c>
      <c r="B1111" s="7" t="str">
        <f>HYPERLINK("https://twitter.com/UlisesGamez10","@UlisesGamez10")</f>
        <v>@UlisesGamez10</v>
      </c>
      <c r="C1111" s="8" t="s">
        <v>233</v>
      </c>
      <c r="D1111" s="9" t="s">
        <v>4041</v>
      </c>
      <c r="E1111" s="10" t="str">
        <f>HYPERLINK("https://twitter.com/UlisesGamez10/status/1070445391135551488","1070445391135551488")</f>
        <v>1070445391135551488</v>
      </c>
      <c r="F1111" s="11"/>
      <c r="G1111" s="16" t="s">
        <v>4042</v>
      </c>
      <c r="H1111" s="11"/>
      <c r="I1111" s="12">
        <v>0</v>
      </c>
      <c r="J1111" s="12">
        <v>0</v>
      </c>
      <c r="K1111" s="13" t="str">
        <f t="shared" si="266"/>
        <v>Twitter for Android</v>
      </c>
      <c r="L1111" s="12">
        <v>1184</v>
      </c>
      <c r="M1111" s="12">
        <v>5002</v>
      </c>
      <c r="N1111" s="12">
        <v>0</v>
      </c>
      <c r="O1111" s="14"/>
      <c r="P1111" s="6">
        <v>43190.59783564815</v>
      </c>
      <c r="Q1111" s="15" t="s">
        <v>236</v>
      </c>
      <c r="R1111" s="17" t="s">
        <v>237</v>
      </c>
      <c r="S1111" s="11"/>
      <c r="T1111" s="11"/>
      <c r="U1111" s="10" t="str">
        <f>HYPERLINK("https://pbs.twimg.com/profile_images/1068881444196499456/MCgxp2WR.jpg","View")</f>
        <v>View</v>
      </c>
    </row>
    <row r="1112" spans="1:21" ht="71.400000000000006">
      <c r="A1112" s="6">
        <v>43439.979467592595</v>
      </c>
      <c r="B1112" s="7" t="str">
        <f>HYPERLINK("https://twitter.com/retrolento","@retrolento")</f>
        <v>@retrolento</v>
      </c>
      <c r="C1112" s="8" t="s">
        <v>4043</v>
      </c>
      <c r="D1112" s="9" t="s">
        <v>4044</v>
      </c>
      <c r="E1112" s="10" t="str">
        <f>HYPERLINK("https://twitter.com/retrolento/status/1070445318947385344","1070445318947385344")</f>
        <v>1070445318947385344</v>
      </c>
      <c r="F1112" s="15" t="s">
        <v>3999</v>
      </c>
      <c r="G1112" s="11"/>
      <c r="H1112" s="11"/>
      <c r="I1112" s="12">
        <v>0</v>
      </c>
      <c r="J1112" s="12">
        <v>0</v>
      </c>
      <c r="K1112" s="13" t="str">
        <f t="shared" si="266"/>
        <v>Twitter for Android</v>
      </c>
      <c r="L1112" s="12">
        <v>64</v>
      </c>
      <c r="M1112" s="12">
        <v>108</v>
      </c>
      <c r="N1112" s="12">
        <v>0</v>
      </c>
      <c r="O1112" s="14"/>
      <c r="P1112" s="6">
        <v>43046.984976851847</v>
      </c>
      <c r="Q1112" s="11"/>
      <c r="R1112" s="17" t="s">
        <v>4045</v>
      </c>
      <c r="S1112" s="11"/>
      <c r="T1112" s="11"/>
      <c r="U1112" s="10" t="str">
        <f>HYPERLINK("https://pbs.twimg.com/profile_images/977152875448201216/afpAJEpe.jpg","View")</f>
        <v>View</v>
      </c>
    </row>
    <row r="1113" spans="1:21" ht="30.6">
      <c r="A1113" s="6">
        <v>43439.979444444441</v>
      </c>
      <c r="B1113" s="7" t="str">
        <f>HYPERLINK("https://twitter.com/asivaespana_com","@asivaespana_com")</f>
        <v>@asivaespana_com</v>
      </c>
      <c r="C1113" s="8" t="s">
        <v>4046</v>
      </c>
      <c r="D1113" s="9" t="s">
        <v>4047</v>
      </c>
      <c r="E1113" s="10" t="str">
        <f>HYPERLINK("https://twitter.com/asivaespana_com/status/1070445310273568768","1070445310273568768")</f>
        <v>1070445310273568768</v>
      </c>
      <c r="F1113" s="16" t="s">
        <v>4048</v>
      </c>
      <c r="G1113" s="11"/>
      <c r="H1113" s="11"/>
      <c r="I1113" s="12">
        <v>3</v>
      </c>
      <c r="J1113" s="12">
        <v>3</v>
      </c>
      <c r="K1113" s="13" t="str">
        <f>HYPERLINK("http://www.asivaespana.com","Así va España")</f>
        <v>Así va España</v>
      </c>
      <c r="L1113" s="12">
        <v>4435</v>
      </c>
      <c r="M1113" s="12">
        <v>31</v>
      </c>
      <c r="N1113" s="12">
        <v>51</v>
      </c>
      <c r="O1113" s="14"/>
      <c r="P1113" s="6">
        <v>40772.838576388887</v>
      </c>
      <c r="Q1113" s="15" t="s">
        <v>197</v>
      </c>
      <c r="R1113" s="17" t="s">
        <v>4049</v>
      </c>
      <c r="S1113" s="16" t="s">
        <v>4050</v>
      </c>
      <c r="T1113" s="11"/>
      <c r="U1113" s="10" t="str">
        <f>HYPERLINK("https://pbs.twimg.com/profile_images/606096519796768769/A1npKoi0.png","View")</f>
        <v>View</v>
      </c>
    </row>
    <row r="1114" spans="1:21" ht="30.6">
      <c r="A1114" s="6">
        <v>43439.977037037039</v>
      </c>
      <c r="B1114" s="7" t="str">
        <f>HYPERLINK("https://twitter.com/Leganews","@Leganews")</f>
        <v>@Leganews</v>
      </c>
      <c r="C1114" s="8" t="s">
        <v>4051</v>
      </c>
      <c r="D1114" s="9" t="s">
        <v>4052</v>
      </c>
      <c r="E1114" s="10" t="str">
        <f>HYPERLINK("https://twitter.com/Leganews/status/1070444439452246016","1070444439452246016")</f>
        <v>1070444439452246016</v>
      </c>
      <c r="F1114" s="16" t="s">
        <v>4053</v>
      </c>
      <c r="G1114" s="11"/>
      <c r="H1114" s="11"/>
      <c r="I1114" s="12">
        <v>1</v>
      </c>
      <c r="J1114" s="12">
        <v>4</v>
      </c>
      <c r="K1114" s="13" t="str">
        <f t="shared" ref="K1114:K1115" si="267">HYPERLINK("http://twitter.com/download/iphone","Twitter for iPhone")</f>
        <v>Twitter for iPhone</v>
      </c>
      <c r="L1114" s="12">
        <v>3513</v>
      </c>
      <c r="M1114" s="12">
        <v>734</v>
      </c>
      <c r="N1114" s="12">
        <v>45</v>
      </c>
      <c r="O1114" s="14"/>
      <c r="P1114" s="6">
        <v>42152.90697916667</v>
      </c>
      <c r="Q1114" s="15" t="s">
        <v>4054</v>
      </c>
      <c r="R1114" s="17" t="s">
        <v>4055</v>
      </c>
      <c r="S1114" s="16" t="s">
        <v>4056</v>
      </c>
      <c r="T1114" s="11"/>
      <c r="U1114" s="10" t="str">
        <f>HYPERLINK("https://pbs.twimg.com/profile_images/1053388045863604229/JqDpCLVj.jpg","View")</f>
        <v>View</v>
      </c>
    </row>
    <row r="1115" spans="1:21" ht="13.2">
      <c r="A1115" s="6">
        <v>43439.975706018522</v>
      </c>
      <c r="B1115" s="7" t="str">
        <f>HYPERLINK("https://twitter.com/gabrielsanjuan2","@gabrielsanjuan2")</f>
        <v>@gabrielsanjuan2</v>
      </c>
      <c r="C1115" s="8" t="s">
        <v>4057</v>
      </c>
      <c r="D1115" s="9" t="s">
        <v>4058</v>
      </c>
      <c r="E1115" s="10" t="str">
        <f>HYPERLINK("https://twitter.com/gabrielsanjuan2/status/1070443953944752128","1070443953944752128")</f>
        <v>1070443953944752128</v>
      </c>
      <c r="F1115" s="11"/>
      <c r="G1115" s="11"/>
      <c r="H1115" s="11"/>
      <c r="I1115" s="12">
        <v>0</v>
      </c>
      <c r="J1115" s="12">
        <v>0</v>
      </c>
      <c r="K1115" s="13" t="str">
        <f t="shared" si="267"/>
        <v>Twitter for iPhone</v>
      </c>
      <c r="L1115" s="12">
        <v>457</v>
      </c>
      <c r="M1115" s="12">
        <v>285</v>
      </c>
      <c r="N1115" s="12">
        <v>2</v>
      </c>
      <c r="O1115" s="14"/>
      <c r="P1115" s="6">
        <v>40798.689062500001</v>
      </c>
      <c r="Q1115" s="11"/>
      <c r="R1115" s="18"/>
      <c r="S1115" s="11"/>
      <c r="T1115" s="11"/>
      <c r="U1115" s="10" t="str">
        <f>HYPERLINK("https://pbs.twimg.com/profile_images/1066806438964707329/HGNm3ewp.jpg","View")</f>
        <v>View</v>
      </c>
    </row>
    <row r="1116" spans="1:21" ht="61.2">
      <c r="A1116" s="6">
        <v>43439.975601851853</v>
      </c>
      <c r="B1116" s="7" t="str">
        <f>HYPERLINK("https://twitter.com/gaab75","@gaab75")</f>
        <v>@gaab75</v>
      </c>
      <c r="C1116" s="8" t="s">
        <v>361</v>
      </c>
      <c r="D1116" s="9" t="s">
        <v>4059</v>
      </c>
      <c r="E1116" s="10" t="str">
        <f>HYPERLINK("https://twitter.com/gaab75/status/1070443916837687296","1070443916837687296")</f>
        <v>1070443916837687296</v>
      </c>
      <c r="F1116" s="15" t="s">
        <v>3999</v>
      </c>
      <c r="G1116" s="11"/>
      <c r="H1116" s="11"/>
      <c r="I1116" s="12">
        <v>0</v>
      </c>
      <c r="J1116" s="12">
        <v>0</v>
      </c>
      <c r="K1116" s="13" t="str">
        <f>HYPERLINK("http://twitter.com","Twitter Web Client")</f>
        <v>Twitter Web Client</v>
      </c>
      <c r="L1116" s="12">
        <v>3602</v>
      </c>
      <c r="M1116" s="12">
        <v>1550</v>
      </c>
      <c r="N1116" s="12">
        <v>98</v>
      </c>
      <c r="O1116" s="14"/>
      <c r="P1116" s="6">
        <v>40128.955196759256</v>
      </c>
      <c r="Q1116" s="15" t="s">
        <v>364</v>
      </c>
      <c r="R1116" s="17" t="s">
        <v>365</v>
      </c>
      <c r="S1116" s="16" t="s">
        <v>366</v>
      </c>
      <c r="T1116" s="11"/>
      <c r="U1116" s="10" t="str">
        <f>HYPERLINK("https://pbs.twimg.com/profile_images/958087622638948354/Nn7-v7sP.jpg","View")</f>
        <v>View</v>
      </c>
    </row>
    <row r="1117" spans="1:21" ht="20.399999999999999">
      <c r="A1117" s="6">
        <v>43439.975266203706</v>
      </c>
      <c r="B1117" s="7" t="str">
        <f>HYPERLINK("https://twitter.com/DonYesu","@DonYesu")</f>
        <v>@DonYesu</v>
      </c>
      <c r="C1117" s="8" t="s">
        <v>4060</v>
      </c>
      <c r="D1117" s="9" t="s">
        <v>4061</v>
      </c>
      <c r="E1117" s="10" t="str">
        <f>HYPERLINK("https://twitter.com/DonYesu/status/1070443794611531777","1070443794611531777")</f>
        <v>1070443794611531777</v>
      </c>
      <c r="F1117" s="11"/>
      <c r="G1117" s="11"/>
      <c r="H1117" s="11"/>
      <c r="I1117" s="12">
        <v>2</v>
      </c>
      <c r="J1117" s="12">
        <v>1</v>
      </c>
      <c r="K1117" s="13" t="str">
        <f>HYPERLINK("https://about.twitter.com/products/tweetdeck","TweetDeck")</f>
        <v>TweetDeck</v>
      </c>
      <c r="L1117" s="12">
        <v>1028</v>
      </c>
      <c r="M1117" s="12">
        <v>635</v>
      </c>
      <c r="N1117" s="12">
        <v>8</v>
      </c>
      <c r="O1117" s="14"/>
      <c r="P1117" s="6">
        <v>40325.877569444448</v>
      </c>
      <c r="Q1117" s="11"/>
      <c r="R1117" s="17" t="s">
        <v>4062</v>
      </c>
      <c r="S1117" s="16" t="s">
        <v>4063</v>
      </c>
      <c r="T1117" s="11"/>
      <c r="U1117" s="10" t="str">
        <f>HYPERLINK("https://pbs.twimg.com/profile_images/1039935997327429634/QO-qRKLx.jpg","View")</f>
        <v>View</v>
      </c>
    </row>
    <row r="1118" spans="1:21" ht="51">
      <c r="A1118" s="6">
        <v>43439.974861111114</v>
      </c>
      <c r="B1118" s="7" t="str">
        <f>HYPERLINK("https://twitter.com/alfonsojag","@alfonsojag")</f>
        <v>@alfonsojag</v>
      </c>
      <c r="C1118" s="8" t="s">
        <v>4064</v>
      </c>
      <c r="D1118" s="9" t="s">
        <v>4065</v>
      </c>
      <c r="E1118" s="10" t="str">
        <f>HYPERLINK("https://twitter.com/alfonsojag/status/1070443649186582528","1070443649186582528")</f>
        <v>1070443649186582528</v>
      </c>
      <c r="F1118" s="15" t="s">
        <v>4066</v>
      </c>
      <c r="G1118" s="11"/>
      <c r="H1118" s="11"/>
      <c r="I1118" s="12">
        <v>1</v>
      </c>
      <c r="J1118" s="12">
        <v>1</v>
      </c>
      <c r="K1118" s="13" t="str">
        <f>HYPERLINK("http://twitter.com/download/android","Twitter for Android")</f>
        <v>Twitter for Android</v>
      </c>
      <c r="L1118" s="12">
        <v>1215</v>
      </c>
      <c r="M1118" s="12">
        <v>1506</v>
      </c>
      <c r="N1118" s="12">
        <v>28</v>
      </c>
      <c r="O1118" s="14"/>
      <c r="P1118" s="6">
        <v>40691.907048611109</v>
      </c>
      <c r="Q1118" s="15" t="s">
        <v>56</v>
      </c>
      <c r="R1118" s="17" t="s">
        <v>4067</v>
      </c>
      <c r="S1118" s="11"/>
      <c r="T1118" s="11"/>
      <c r="U1118" s="10" t="str">
        <f>HYPERLINK("https://pbs.twimg.com/profile_images/980927482529484801/U2R2WD8L.jpg","View")</f>
        <v>View</v>
      </c>
    </row>
    <row r="1119" spans="1:21" ht="51">
      <c r="A1119" s="6">
        <v>43439.974328703705</v>
      </c>
      <c r="B1119" s="7" t="str">
        <f>HYPERLINK("https://twitter.com/CarlosOlivoV","@CarlosOlivoV")</f>
        <v>@CarlosOlivoV</v>
      </c>
      <c r="C1119" s="8" t="s">
        <v>4068</v>
      </c>
      <c r="D1119" s="9" t="s">
        <v>4069</v>
      </c>
      <c r="E1119" s="10" t="str">
        <f>HYPERLINK("https://twitter.com/CarlosOlivoV/status/1070443456756113408","1070443456756113408")</f>
        <v>1070443456756113408</v>
      </c>
      <c r="F1119" s="16" t="s">
        <v>4070</v>
      </c>
      <c r="G1119" s="11"/>
      <c r="H1119" s="11"/>
      <c r="I1119" s="12">
        <v>0</v>
      </c>
      <c r="J1119" s="12">
        <v>0</v>
      </c>
      <c r="K1119" s="13" t="str">
        <f>HYPERLINK("http://twitter.com","Twitter Web Client")</f>
        <v>Twitter Web Client</v>
      </c>
      <c r="L1119" s="12">
        <v>214</v>
      </c>
      <c r="M1119" s="12">
        <v>211</v>
      </c>
      <c r="N1119" s="12">
        <v>3</v>
      </c>
      <c r="O1119" s="14"/>
      <c r="P1119" s="6">
        <v>40779.476840277777</v>
      </c>
      <c r="Q1119" s="15" t="s">
        <v>4071</v>
      </c>
      <c r="R1119" s="17" t="s">
        <v>4072</v>
      </c>
      <c r="S1119" s="16" t="s">
        <v>4073</v>
      </c>
      <c r="T1119" s="11"/>
      <c r="U1119" s="10" t="str">
        <f>HYPERLINK("https://pbs.twimg.com/profile_images/921405323323289600/caz81Cm2.jpg","View")</f>
        <v>View</v>
      </c>
    </row>
    <row r="1120" spans="1:21" ht="51">
      <c r="A1120" s="6">
        <v>43439.973935185189</v>
      </c>
      <c r="B1120" s="7" t="str">
        <f>HYPERLINK("https://twitter.com/Xabibenputa","@Xabibenputa")</f>
        <v>@Xabibenputa</v>
      </c>
      <c r="C1120" s="8" t="s">
        <v>4074</v>
      </c>
      <c r="D1120" s="9" t="s">
        <v>4075</v>
      </c>
      <c r="E1120" s="10" t="str">
        <f>HYPERLINK("https://twitter.com/Xabibenputa/status/1070443314548228098","1070443314548228098")</f>
        <v>1070443314548228098</v>
      </c>
      <c r="F1120" s="11"/>
      <c r="G1120" s="11"/>
      <c r="H1120" s="11"/>
      <c r="I1120" s="12">
        <v>7</v>
      </c>
      <c r="J1120" s="12">
        <v>60</v>
      </c>
      <c r="K1120" s="13" t="str">
        <f>HYPERLINK("http://twitter.com/download/android","Twitter for Android")</f>
        <v>Twitter for Android</v>
      </c>
      <c r="L1120" s="12">
        <v>22417</v>
      </c>
      <c r="M1120" s="12">
        <v>421</v>
      </c>
      <c r="N1120" s="12">
        <v>438</v>
      </c>
      <c r="O1120" s="14"/>
      <c r="P1120" s="6">
        <v>39957.819120370368</v>
      </c>
      <c r="Q1120" s="11"/>
      <c r="R1120" s="17" t="s">
        <v>4076</v>
      </c>
      <c r="S1120" s="11"/>
      <c r="T1120" s="11"/>
      <c r="U1120" s="10" t="str">
        <f>HYPERLINK("https://pbs.twimg.com/profile_images/741337656928374784/VUK-bmWd.jpg","View")</f>
        <v>View</v>
      </c>
    </row>
    <row r="1121" spans="1:21" ht="40.799999999999997">
      <c r="A1121" s="6">
        <v>43439.973761574074</v>
      </c>
      <c r="B1121" s="7" t="str">
        <f>HYPERLINK("https://twitter.com/sceheherezade","@sceheherezade")</f>
        <v>@sceheherezade</v>
      </c>
      <c r="C1121" s="8" t="s">
        <v>4077</v>
      </c>
      <c r="D1121" s="9" t="s">
        <v>4078</v>
      </c>
      <c r="E1121" s="10" t="str">
        <f>HYPERLINK("https://twitter.com/sceheherezade/status/1070443251285532673","1070443251285532673")</f>
        <v>1070443251285532673</v>
      </c>
      <c r="F1121" s="11"/>
      <c r="G1121" s="16" t="s">
        <v>4079</v>
      </c>
      <c r="H1121" s="11"/>
      <c r="I1121" s="12">
        <v>2</v>
      </c>
      <c r="J1121" s="12">
        <v>1</v>
      </c>
      <c r="K1121" s="13" t="str">
        <f>HYPERLINK("http://twitter.com","Twitter Web Client")</f>
        <v>Twitter Web Client</v>
      </c>
      <c r="L1121" s="12">
        <v>1083</v>
      </c>
      <c r="M1121" s="12">
        <v>959</v>
      </c>
      <c r="N1121" s="12">
        <v>0</v>
      </c>
      <c r="O1121" s="14"/>
      <c r="P1121" s="6">
        <v>41682.983368055553</v>
      </c>
      <c r="Q1121" s="11"/>
      <c r="R1121" s="18"/>
      <c r="S1121" s="11"/>
      <c r="T1121" s="11"/>
      <c r="U1121" s="10" t="str">
        <f>HYPERLINK("https://pbs.twimg.com/profile_images/435154695573614593/CDbesv1X.jpeg","View")</f>
        <v>View</v>
      </c>
    </row>
    <row r="1122" spans="1:21" ht="40.799999999999997">
      <c r="A1122" s="6">
        <v>43439.973113425927</v>
      </c>
      <c r="B1122" s="7" t="str">
        <f>HYPERLINK("https://twitter.com/pasapagin","@pasapagin")</f>
        <v>@pasapagin</v>
      </c>
      <c r="C1122" s="8" t="s">
        <v>1543</v>
      </c>
      <c r="D1122" s="9" t="s">
        <v>4080</v>
      </c>
      <c r="E1122" s="10" t="str">
        <f>HYPERLINK("https://twitter.com/pasapagin/status/1070443015506923521","1070443015506923521")</f>
        <v>1070443015506923521</v>
      </c>
      <c r="F1122" s="11"/>
      <c r="G1122" s="11"/>
      <c r="H1122" s="11"/>
      <c r="I1122" s="12">
        <v>0</v>
      </c>
      <c r="J1122" s="12">
        <v>0</v>
      </c>
      <c r="K1122" s="13" t="str">
        <f>HYPERLINK("http://twitter.com/download/android","Twitter for Android")</f>
        <v>Twitter for Android</v>
      </c>
      <c r="L1122" s="12">
        <v>74</v>
      </c>
      <c r="M1122" s="12">
        <v>396</v>
      </c>
      <c r="N1122" s="12">
        <v>0</v>
      </c>
      <c r="O1122" s="14"/>
      <c r="P1122" s="6">
        <v>41181.738391203704</v>
      </c>
      <c r="Q1122" s="15" t="s">
        <v>4081</v>
      </c>
      <c r="R1122" s="17" t="s">
        <v>4082</v>
      </c>
      <c r="S1122" s="11"/>
      <c r="T1122" s="11"/>
      <c r="U1122" s="10" t="str">
        <f>HYPERLINK("https://pbs.twimg.com/profile_images/972213017495695360/uy5U9pxS.jpg","View")</f>
        <v>View</v>
      </c>
    </row>
    <row r="1123" spans="1:21" ht="30.6">
      <c r="A1123" s="6">
        <v>43439.972916666666</v>
      </c>
      <c r="B1123" s="7" t="str">
        <f>HYPERLINK("https://twitter.com/COPE","@COPE")</f>
        <v>@COPE</v>
      </c>
      <c r="C1123" s="8" t="s">
        <v>1421</v>
      </c>
      <c r="D1123" s="9" t="s">
        <v>4083</v>
      </c>
      <c r="E1123" s="10" t="str">
        <f>HYPERLINK("https://twitter.com/COPE/status/1070442944858071040","1070442944858071040")</f>
        <v>1070442944858071040</v>
      </c>
      <c r="F1123" s="16" t="s">
        <v>4084</v>
      </c>
      <c r="G1123" s="11"/>
      <c r="H1123" s="11"/>
      <c r="I1123" s="12">
        <v>14</v>
      </c>
      <c r="J1123" s="12">
        <v>38</v>
      </c>
      <c r="K1123" s="13" t="str">
        <f>HYPERLINK("http://dogtrack.es","DogTrack_Oficial")</f>
        <v>DogTrack_Oficial</v>
      </c>
      <c r="L1123" s="12">
        <v>354194</v>
      </c>
      <c r="M1123" s="12">
        <v>150</v>
      </c>
      <c r="N1123" s="12">
        <v>3095</v>
      </c>
      <c r="O1123" s="23" t="s">
        <v>89</v>
      </c>
      <c r="P1123" s="6">
        <v>39381.538321759261</v>
      </c>
      <c r="Q1123" s="15" t="s">
        <v>185</v>
      </c>
      <c r="R1123" s="17" t="s">
        <v>1424</v>
      </c>
      <c r="S1123" s="16" t="s">
        <v>1425</v>
      </c>
      <c r="T1123" s="11"/>
      <c r="U1123" s="10" t="str">
        <f>HYPERLINK("https://pbs.twimg.com/profile_images/1063097716031533059/yAe1j-56.jpg","View")</f>
        <v>View</v>
      </c>
    </row>
    <row r="1124" spans="1:21" ht="40.799999999999997">
      <c r="A1124" s="6">
        <v>43439.972511574073</v>
      </c>
      <c r="B1124" s="7" t="str">
        <f>HYPERLINK("https://twitter.com/Sombra_Alutxe","@Sombra_Alutxe")</f>
        <v>@Sombra_Alutxe</v>
      </c>
      <c r="C1124" s="8" t="s">
        <v>4085</v>
      </c>
      <c r="D1124" s="9" t="s">
        <v>4086</v>
      </c>
      <c r="E1124" s="10" t="str">
        <f>HYPERLINK("https://twitter.com/Sombra_Alutxe/status/1070442795687645184","1070442795687645184")</f>
        <v>1070442795687645184</v>
      </c>
      <c r="F1124" s="16" t="s">
        <v>4087</v>
      </c>
      <c r="G1124" s="11"/>
      <c r="H1124" s="11"/>
      <c r="I1124" s="12">
        <v>0</v>
      </c>
      <c r="J1124" s="12">
        <v>0</v>
      </c>
      <c r="K1124" s="13" t="str">
        <f>HYPERLINK("http://twitter.com","Twitter Web Client")</f>
        <v>Twitter Web Client</v>
      </c>
      <c r="L1124" s="12">
        <v>188</v>
      </c>
      <c r="M1124" s="12">
        <v>242</v>
      </c>
      <c r="N1124" s="12">
        <v>4</v>
      </c>
      <c r="O1124" s="14"/>
      <c r="P1124" s="6">
        <v>40374.054942129631</v>
      </c>
      <c r="Q1124" s="15" t="s">
        <v>4088</v>
      </c>
      <c r="R1124" s="17" t="s">
        <v>4089</v>
      </c>
      <c r="S1124" s="11"/>
      <c r="T1124" s="11"/>
      <c r="U1124" s="10" t="str">
        <f>HYPERLINK("https://pbs.twimg.com/profile_images/955450057796608000/smokWJ76.jpg","View")</f>
        <v>View</v>
      </c>
    </row>
    <row r="1125" spans="1:21" ht="20.399999999999999">
      <c r="A1125" s="6">
        <v>43439.971724537041</v>
      </c>
      <c r="B1125" s="7" t="str">
        <f>HYPERLINK("https://twitter.com/JCASTRO56","@JCASTRO56")</f>
        <v>@JCASTRO56</v>
      </c>
      <c r="C1125" s="8" t="s">
        <v>4090</v>
      </c>
      <c r="D1125" s="9" t="s">
        <v>4091</v>
      </c>
      <c r="E1125" s="10" t="str">
        <f>HYPERLINK("https://twitter.com/JCASTRO56/status/1070442512131735557","1070442512131735557")</f>
        <v>1070442512131735557</v>
      </c>
      <c r="F1125" s="16" t="s">
        <v>4092</v>
      </c>
      <c r="G1125" s="11"/>
      <c r="H1125" s="11"/>
      <c r="I1125" s="12">
        <v>1</v>
      </c>
      <c r="J1125" s="12">
        <v>2</v>
      </c>
      <c r="K1125" s="13" t="str">
        <f>HYPERLINK("http://twitter.com/#!/download/ipad","Twitter for iPad")</f>
        <v>Twitter for iPad</v>
      </c>
      <c r="L1125" s="12">
        <v>357</v>
      </c>
      <c r="M1125" s="12">
        <v>762</v>
      </c>
      <c r="N1125" s="12">
        <v>4</v>
      </c>
      <c r="O1125" s="14"/>
      <c r="P1125" s="6">
        <v>40407.168553240743</v>
      </c>
      <c r="Q1125" s="15" t="s">
        <v>4093</v>
      </c>
      <c r="R1125" s="17" t="s">
        <v>4094</v>
      </c>
      <c r="S1125" s="11"/>
      <c r="T1125" s="11"/>
      <c r="U1125" s="10" t="str">
        <f>HYPERLINK("https://pbs.twimg.com/profile_images/479692083738206208/nK6DXOmZ.jpeg","View")</f>
        <v>View</v>
      </c>
    </row>
    <row r="1126" spans="1:21" ht="40.799999999999997">
      <c r="A1126" s="6">
        <v>43439.971342592587</v>
      </c>
      <c r="B1126" s="7" t="str">
        <f>HYPERLINK("https://twitter.com/Xabibenputa","@Xabibenputa")</f>
        <v>@Xabibenputa</v>
      </c>
      <c r="C1126" s="8" t="s">
        <v>4074</v>
      </c>
      <c r="D1126" s="9" t="s">
        <v>4095</v>
      </c>
      <c r="E1126" s="10" t="str">
        <f>HYPERLINK("https://twitter.com/Xabibenputa/status/1070442375661670400","1070442375661670400")</f>
        <v>1070442375661670400</v>
      </c>
      <c r="F1126" s="11"/>
      <c r="G1126" s="11"/>
      <c r="H1126" s="11"/>
      <c r="I1126" s="12">
        <v>19</v>
      </c>
      <c r="J1126" s="12">
        <v>123</v>
      </c>
      <c r="K1126" s="13" t="str">
        <f t="shared" ref="K1126:K1127" si="268">HYPERLINK("http://twitter.com/download/android","Twitter for Android")</f>
        <v>Twitter for Android</v>
      </c>
      <c r="L1126" s="12">
        <v>22417</v>
      </c>
      <c r="M1126" s="12">
        <v>421</v>
      </c>
      <c r="N1126" s="12">
        <v>438</v>
      </c>
      <c r="O1126" s="14"/>
      <c r="P1126" s="6">
        <v>39957.819120370368</v>
      </c>
      <c r="Q1126" s="11"/>
      <c r="R1126" s="17" t="s">
        <v>4076</v>
      </c>
      <c r="S1126" s="11"/>
      <c r="T1126" s="11"/>
      <c r="U1126" s="10" t="str">
        <f>HYPERLINK("https://pbs.twimg.com/profile_images/741337656928374784/VUK-bmWd.jpg","View")</f>
        <v>View</v>
      </c>
    </row>
    <row r="1127" spans="1:21" ht="20.399999999999999">
      <c r="A1127" s="6">
        <v>43439.971250000002</v>
      </c>
      <c r="B1127" s="7" t="str">
        <f>HYPERLINK("https://twitter.com/ramon1953uc","@ramon1953uc")</f>
        <v>@ramon1953uc</v>
      </c>
      <c r="C1127" s="8" t="s">
        <v>4096</v>
      </c>
      <c r="D1127" s="9" t="s">
        <v>4097</v>
      </c>
      <c r="E1127" s="10" t="str">
        <f>HYPERLINK("https://twitter.com/ramon1953uc/status/1070442338529542144","1070442338529542144")</f>
        <v>1070442338529542144</v>
      </c>
      <c r="F1127" s="11"/>
      <c r="G1127" s="16" t="s">
        <v>4098</v>
      </c>
      <c r="H1127" s="11"/>
      <c r="I1127" s="12">
        <v>1</v>
      </c>
      <c r="J1127" s="12">
        <v>1</v>
      </c>
      <c r="K1127" s="13" t="str">
        <f t="shared" si="268"/>
        <v>Twitter for Android</v>
      </c>
      <c r="L1127" s="12">
        <v>2988</v>
      </c>
      <c r="M1127" s="12">
        <v>4973</v>
      </c>
      <c r="N1127" s="12">
        <v>23</v>
      </c>
      <c r="O1127" s="14"/>
      <c r="P1127" s="6">
        <v>41285.684340277774</v>
      </c>
      <c r="Q1127" s="15" t="s">
        <v>712</v>
      </c>
      <c r="R1127" s="17" t="s">
        <v>4099</v>
      </c>
      <c r="S1127" s="11"/>
      <c r="T1127" s="11"/>
      <c r="U1127" s="10" t="str">
        <f>HYPERLINK("https://pbs.twimg.com/profile_images/758789100027588608/jxTVMVVM.jpg","View")</f>
        <v>View</v>
      </c>
    </row>
    <row r="1128" spans="1:21" ht="30.6">
      <c r="A1128" s="6">
        <v>43439.971053240741</v>
      </c>
      <c r="B1128" s="7" t="str">
        <f>HYPERLINK("https://twitter.com/franconcres","@franconcres")</f>
        <v>@franconcres</v>
      </c>
      <c r="C1128" s="8" t="s">
        <v>4100</v>
      </c>
      <c r="D1128" s="9" t="s">
        <v>4101</v>
      </c>
      <c r="E1128" s="10" t="str">
        <f>HYPERLINK("https://twitter.com/franconcres/status/1070442269248053248","1070442269248053248")</f>
        <v>1070442269248053248</v>
      </c>
      <c r="F1128" s="16" t="s">
        <v>4102</v>
      </c>
      <c r="G1128" s="11"/>
      <c r="H1128" s="11"/>
      <c r="I1128" s="12">
        <v>0</v>
      </c>
      <c r="J1128" s="12">
        <v>0</v>
      </c>
      <c r="K1128" s="13" t="str">
        <f>HYPERLINK("http://www.facebook.com/twitter","Facebook")</f>
        <v>Facebook</v>
      </c>
      <c r="L1128" s="12">
        <v>430</v>
      </c>
      <c r="M1128" s="12">
        <v>188</v>
      </c>
      <c r="N1128" s="12">
        <v>3</v>
      </c>
      <c r="O1128" s="14"/>
      <c r="P1128" s="6">
        <v>40882.091979166667</v>
      </c>
      <c r="Q1128" s="15" t="s">
        <v>4103</v>
      </c>
      <c r="R1128" s="18"/>
      <c r="S1128" s="11"/>
      <c r="T1128" s="11"/>
      <c r="U1128" s="10" t="str">
        <f>HYPERLINK("https://pbs.twimg.com/profile_images/1022274793012383749/VduMtZoP.jpg","View")</f>
        <v>View</v>
      </c>
    </row>
    <row r="1129" spans="1:21" ht="13.2">
      <c r="A1129" s="6">
        <v>43439.969178240739</v>
      </c>
      <c r="B1129" s="7" t="str">
        <f>HYPERLINK("https://twitter.com/alcaide345","@alcaide345")</f>
        <v>@alcaide345</v>
      </c>
      <c r="C1129" s="8" t="s">
        <v>1508</v>
      </c>
      <c r="D1129" s="9" t="s">
        <v>4104</v>
      </c>
      <c r="E1129" s="10" t="str">
        <f>HYPERLINK("https://twitter.com/alcaide345/status/1070441588810231810","1070441588810231810")</f>
        <v>1070441588810231810</v>
      </c>
      <c r="F1129" s="16" t="s">
        <v>1607</v>
      </c>
      <c r="G1129" s="11"/>
      <c r="H1129" s="11"/>
      <c r="I1129" s="12">
        <v>0</v>
      </c>
      <c r="J1129" s="12">
        <v>0</v>
      </c>
      <c r="K1129" s="13" t="str">
        <f>HYPERLINK("http://twitter.com/download/android","Twitter for Android")</f>
        <v>Twitter for Android</v>
      </c>
      <c r="L1129" s="12">
        <v>35</v>
      </c>
      <c r="M1129" s="12">
        <v>84</v>
      </c>
      <c r="N1129" s="12">
        <v>0</v>
      </c>
      <c r="O1129" s="14"/>
      <c r="P1129" s="6">
        <v>41159.867800925924</v>
      </c>
      <c r="Q1129" s="11"/>
      <c r="R1129" s="18"/>
      <c r="S1129" s="11"/>
      <c r="T1129" s="11"/>
      <c r="U1129" s="10" t="str">
        <f>HYPERLINK("https://pbs.twimg.com/profile_images/911679672039170049/t-WmWiJJ.jpg","View")</f>
        <v>View</v>
      </c>
    </row>
    <row r="1130" spans="1:21" ht="51">
      <c r="A1130" s="6">
        <v>43439.967372685191</v>
      </c>
      <c r="B1130" s="7" t="str">
        <f>HYPERLINK("https://twitter.com/azoteprogre","@azoteprogre")</f>
        <v>@azoteprogre</v>
      </c>
      <c r="C1130" s="8" t="s">
        <v>4105</v>
      </c>
      <c r="D1130" s="9" t="s">
        <v>4106</v>
      </c>
      <c r="E1130" s="10" t="str">
        <f>HYPERLINK("https://twitter.com/azoteprogre/status/1070440936281423873","1070440936281423873")</f>
        <v>1070440936281423873</v>
      </c>
      <c r="F1130" s="11"/>
      <c r="G1130" s="11"/>
      <c r="H1130" s="11"/>
      <c r="I1130" s="12">
        <v>0</v>
      </c>
      <c r="J1130" s="12">
        <v>1</v>
      </c>
      <c r="K1130" s="13" t="str">
        <f>HYPERLINK("http://twitter.com","Twitter Web Client")</f>
        <v>Twitter Web Client</v>
      </c>
      <c r="L1130" s="12">
        <v>283</v>
      </c>
      <c r="M1130" s="12">
        <v>40</v>
      </c>
      <c r="N1130" s="12">
        <v>4</v>
      </c>
      <c r="O1130" s="14"/>
      <c r="P1130" s="6">
        <v>40846.5705787037</v>
      </c>
      <c r="Q1130" s="15" t="s">
        <v>612</v>
      </c>
      <c r="R1130" s="17" t="s">
        <v>4107</v>
      </c>
      <c r="S1130" s="11"/>
      <c r="T1130" s="11"/>
      <c r="U1130" s="10" t="str">
        <f>HYPERLINK("https://pbs.twimg.com/profile_images/3430950032/3d4ca19136ad978d7644f3175990aa01.jpeg","View")</f>
        <v>View</v>
      </c>
    </row>
    <row r="1131" spans="1:21" ht="30.6">
      <c r="A1131" s="6">
        <v>43439.967361111107</v>
      </c>
      <c r="B1131" s="7" t="str">
        <f>HYPERLINK("https://twitter.com/josetxomorales","@josetxomorales")</f>
        <v>@josetxomorales</v>
      </c>
      <c r="C1131" s="8" t="s">
        <v>4108</v>
      </c>
      <c r="D1131" s="9" t="s">
        <v>4109</v>
      </c>
      <c r="E1131" s="10" t="str">
        <f>HYPERLINK("https://twitter.com/josetxomorales/status/1070440933295095808","1070440933295095808")</f>
        <v>1070440933295095808</v>
      </c>
      <c r="F1131" s="11"/>
      <c r="G1131" s="16" t="s">
        <v>4110</v>
      </c>
      <c r="H1131" s="11"/>
      <c r="I1131" s="12">
        <v>0</v>
      </c>
      <c r="J1131" s="12">
        <v>0</v>
      </c>
      <c r="K1131" s="13" t="str">
        <f>HYPERLINK("http://twitter.com/download/iphone","Twitter for iPhone")</f>
        <v>Twitter for iPhone</v>
      </c>
      <c r="L1131" s="12">
        <v>70</v>
      </c>
      <c r="M1131" s="12">
        <v>164</v>
      </c>
      <c r="N1131" s="12">
        <v>0</v>
      </c>
      <c r="O1131" s="14"/>
      <c r="P1131" s="6">
        <v>40631.819432870368</v>
      </c>
      <c r="Q1131" s="15" t="s">
        <v>4111</v>
      </c>
      <c r="R1131" s="17" t="s">
        <v>4112</v>
      </c>
      <c r="S1131" s="11"/>
      <c r="T1131" s="11"/>
      <c r="U1131" s="10" t="str">
        <f>HYPERLINK("https://pbs.twimg.com/profile_images/741385473566859264/_8yqi3Es.jpg","View")</f>
        <v>View</v>
      </c>
    </row>
    <row r="1132" spans="1:21" ht="30.6">
      <c r="A1132" s="6">
        <v>43439.964560185181</v>
      </c>
      <c r="B1132" s="7" t="str">
        <f>HYPERLINK("https://twitter.com/geraltdr","@geraltdr")</f>
        <v>@geraltdr</v>
      </c>
      <c r="C1132" s="8" t="s">
        <v>4113</v>
      </c>
      <c r="D1132" s="9" t="s">
        <v>4114</v>
      </c>
      <c r="E1132" s="10" t="str">
        <f>HYPERLINK("https://twitter.com/geraltdr/status/1070439915509477378","1070439915509477378")</f>
        <v>1070439915509477378</v>
      </c>
      <c r="F1132" s="16" t="s">
        <v>3540</v>
      </c>
      <c r="G1132" s="11"/>
      <c r="H1132" s="11"/>
      <c r="I1132" s="12">
        <v>0</v>
      </c>
      <c r="J1132" s="12">
        <v>0</v>
      </c>
      <c r="K1132" s="13" t="str">
        <f>HYPERLINK("http://twitter.com","Twitter Web Client")</f>
        <v>Twitter Web Client</v>
      </c>
      <c r="L1132" s="12">
        <v>468</v>
      </c>
      <c r="M1132" s="12">
        <v>1088</v>
      </c>
      <c r="N1132" s="12">
        <v>10</v>
      </c>
      <c r="O1132" s="14"/>
      <c r="P1132" s="6">
        <v>40691.640069444446</v>
      </c>
      <c r="Q1132" s="15" t="s">
        <v>197</v>
      </c>
      <c r="R1132" s="17" t="s">
        <v>4115</v>
      </c>
      <c r="S1132" s="11"/>
      <c r="T1132" s="11"/>
      <c r="U1132" s="10" t="str">
        <f>HYPERLINK("https://pbs.twimg.com/profile_images/1037405987383193600/nF-uOEUe.jpg","View")</f>
        <v>View</v>
      </c>
    </row>
    <row r="1133" spans="1:21" ht="51">
      <c r="A1133" s="6">
        <v>43439.964004629626</v>
      </c>
      <c r="B1133" s="7" t="str">
        <f>HYPERLINK("https://twitter.com/OEquidad","@OEquidad")</f>
        <v>@OEquidad</v>
      </c>
      <c r="C1133" s="8" t="s">
        <v>3496</v>
      </c>
      <c r="D1133" s="9" t="s">
        <v>4116</v>
      </c>
      <c r="E1133" s="10" t="str">
        <f>HYPERLINK("https://twitter.com/OEquidad/status/1070439716288454657","1070439716288454657")</f>
        <v>1070439716288454657</v>
      </c>
      <c r="F1133" s="11"/>
      <c r="G1133" s="16" t="s">
        <v>4117</v>
      </c>
      <c r="H1133" s="11"/>
      <c r="I1133" s="12">
        <v>0</v>
      </c>
      <c r="J1133" s="12">
        <v>1</v>
      </c>
      <c r="K1133" s="13" t="str">
        <f>HYPERLINK("http://twitter.com/download/iphone","Twitter for iPhone")</f>
        <v>Twitter for iPhone</v>
      </c>
      <c r="L1133" s="12">
        <v>148</v>
      </c>
      <c r="M1133" s="12">
        <v>701</v>
      </c>
      <c r="N1133" s="12">
        <v>0</v>
      </c>
      <c r="O1133" s="14"/>
      <c r="P1133" s="6">
        <v>43329.579606481479</v>
      </c>
      <c r="Q1133" s="15" t="s">
        <v>185</v>
      </c>
      <c r="R1133" s="17" t="s">
        <v>3499</v>
      </c>
      <c r="S1133" s="11"/>
      <c r="T1133" s="11"/>
      <c r="U1133" s="10" t="str">
        <f>HYPERLINK("https://pbs.twimg.com/profile_images/1030476800353337345/uFi5OkNW.jpg","View")</f>
        <v>View</v>
      </c>
    </row>
    <row r="1134" spans="1:21" ht="51">
      <c r="A1134" s="6">
        <v>43439.963738425926</v>
      </c>
      <c r="B1134" s="7" t="str">
        <f>HYPERLINK("https://twitter.com/BylyelNio","@BylyelNio")</f>
        <v>@BylyelNio</v>
      </c>
      <c r="C1134" s="8" t="s">
        <v>4118</v>
      </c>
      <c r="D1134" s="9" t="s">
        <v>4119</v>
      </c>
      <c r="E1134" s="10" t="str">
        <f>HYPERLINK("https://twitter.com/BylyelNio/status/1070439619777441793","1070439619777441793")</f>
        <v>1070439619777441793</v>
      </c>
      <c r="F1134" s="16" t="s">
        <v>4120</v>
      </c>
      <c r="G1134" s="11"/>
      <c r="H1134" s="11"/>
      <c r="I1134" s="12">
        <v>0</v>
      </c>
      <c r="J1134" s="12">
        <v>0</v>
      </c>
      <c r="K1134" s="13" t="str">
        <f>HYPERLINK("http://twitter.com/#!/download/ipad","Twitter for iPad")</f>
        <v>Twitter for iPad</v>
      </c>
      <c r="L1134" s="12">
        <v>167</v>
      </c>
      <c r="M1134" s="12">
        <v>486</v>
      </c>
      <c r="N1134" s="12">
        <v>0</v>
      </c>
      <c r="O1134" s="14"/>
      <c r="P1134" s="6">
        <v>41236.892060185186</v>
      </c>
      <c r="Q1134" s="11"/>
      <c r="R1134" s="18"/>
      <c r="S1134" s="11"/>
      <c r="T1134" s="11"/>
      <c r="U1134" s="10" t="str">
        <f>HYPERLINK("https://pbs.twimg.com/profile_images/418066004565307392/fJgExenn.jpeg","View")</f>
        <v>View</v>
      </c>
    </row>
    <row r="1135" spans="1:21" ht="40.799999999999997">
      <c r="A1135" s="6">
        <v>43439.962962962964</v>
      </c>
      <c r="B1135" s="7" t="str">
        <f>HYPERLINK("https://twitter.com/Dr_Hackenbush","@Dr_Hackenbush")</f>
        <v>@Dr_Hackenbush</v>
      </c>
      <c r="C1135" s="8" t="s">
        <v>4121</v>
      </c>
      <c r="D1135" s="9" t="s">
        <v>4122</v>
      </c>
      <c r="E1135" s="10" t="str">
        <f>HYPERLINK("https://twitter.com/Dr_Hackenbush/status/1070439338373234693","1070439338373234693")</f>
        <v>1070439338373234693</v>
      </c>
      <c r="F1135" s="11"/>
      <c r="G1135" s="16" t="s">
        <v>4123</v>
      </c>
      <c r="H1135" s="11"/>
      <c r="I1135" s="12">
        <v>26</v>
      </c>
      <c r="J1135" s="12">
        <v>45</v>
      </c>
      <c r="K1135" s="13" t="str">
        <f>HYPERLINK("http://twitter.com","Twitter Web Client")</f>
        <v>Twitter Web Client</v>
      </c>
      <c r="L1135" s="12">
        <v>3661</v>
      </c>
      <c r="M1135" s="12">
        <v>3584</v>
      </c>
      <c r="N1135" s="12">
        <v>8</v>
      </c>
      <c r="O1135" s="14"/>
      <c r="P1135" s="6">
        <v>41072.94699074074</v>
      </c>
      <c r="Q1135" s="15" t="s">
        <v>2263</v>
      </c>
      <c r="R1135" s="17" t="s">
        <v>4124</v>
      </c>
      <c r="S1135" s="11"/>
      <c r="T1135" s="11"/>
      <c r="U1135" s="10" t="str">
        <f>HYPERLINK("https://pbs.twimg.com/profile_images/719997032224698369/YQ8RoWnh.jpg","View")</f>
        <v>View</v>
      </c>
    </row>
    <row r="1136" spans="1:21" ht="51">
      <c r="A1136" s="6">
        <v>43439.960763888885</v>
      </c>
      <c r="B1136" s="7" t="str">
        <f>HYPERLINK("https://twitter.com/JoaQuim_Torre","@JoaQuim_Torre")</f>
        <v>@JoaQuim_Torre</v>
      </c>
      <c r="C1136" s="8" t="s">
        <v>4125</v>
      </c>
      <c r="D1136" s="9" t="s">
        <v>4126</v>
      </c>
      <c r="E1136" s="10" t="str">
        <f>HYPERLINK("https://twitter.com/JoaQuim_Torre/status/1070438538733326338","1070438538733326338")</f>
        <v>1070438538733326338</v>
      </c>
      <c r="F1136" s="11"/>
      <c r="G1136" s="11"/>
      <c r="H1136" s="11"/>
      <c r="I1136" s="12">
        <v>0</v>
      </c>
      <c r="J1136" s="12">
        <v>0</v>
      </c>
      <c r="K1136" s="13" t="str">
        <f>HYPERLINK("https://mobile.twitter.com","Twitter Lite")</f>
        <v>Twitter Lite</v>
      </c>
      <c r="L1136" s="12">
        <v>273</v>
      </c>
      <c r="M1136" s="12">
        <v>110</v>
      </c>
      <c r="N1136" s="12">
        <v>1</v>
      </c>
      <c r="O1136" s="14"/>
      <c r="P1136" s="6">
        <v>43355.554432870369</v>
      </c>
      <c r="Q1136" s="15" t="s">
        <v>197</v>
      </c>
      <c r="R1136" s="17" t="s">
        <v>4127</v>
      </c>
      <c r="S1136" s="11"/>
      <c r="T1136" s="11"/>
      <c r="U1136" s="10" t="str">
        <f>HYPERLINK("https://pbs.twimg.com/profile_images/1039840344555364352/SYIMGqLS.jpg","View")</f>
        <v>View</v>
      </c>
    </row>
    <row r="1137" spans="1:21" ht="51">
      <c r="A1137" s="6">
        <v>43439.959027777775</v>
      </c>
      <c r="B1137" s="7" t="str">
        <f>HYPERLINK("https://twitter.com/bitMomentum","@bitMomentum")</f>
        <v>@bitMomentum</v>
      </c>
      <c r="C1137" s="8" t="s">
        <v>82</v>
      </c>
      <c r="D1137" s="9" t="s">
        <v>4128</v>
      </c>
      <c r="E1137" s="10" t="str">
        <f>HYPERLINK("https://twitter.com/bitMomentum/status/1070437910011396096","1070437910011396096")</f>
        <v>1070437910011396096</v>
      </c>
      <c r="F1137" s="11"/>
      <c r="G1137" s="11"/>
      <c r="H1137" s="11"/>
      <c r="I1137" s="12">
        <v>0</v>
      </c>
      <c r="J1137" s="12">
        <v>0</v>
      </c>
      <c r="K1137" s="13" t="str">
        <f>HYPERLINK("http://www.bitmomentum.com","bitMomentum Bot")</f>
        <v>bitMomentum Bot</v>
      </c>
      <c r="L1137" s="12">
        <v>10253</v>
      </c>
      <c r="M1137" s="12">
        <v>1059</v>
      </c>
      <c r="N1137" s="12">
        <v>263</v>
      </c>
      <c r="O1137" s="14"/>
      <c r="P1137" s="6">
        <v>41608.667511574073</v>
      </c>
      <c r="Q1137" s="11"/>
      <c r="R1137" s="17" t="s">
        <v>84</v>
      </c>
      <c r="S1137" s="16" t="s">
        <v>85</v>
      </c>
      <c r="T1137" s="11"/>
      <c r="U1137" s="10" t="str">
        <f>HYPERLINK("https://pbs.twimg.com/profile_images/378800000862185241/20ij2H3u.png","View")</f>
        <v>View</v>
      </c>
    </row>
    <row r="1138" spans="1:21" ht="51">
      <c r="A1138" s="6">
        <v>43439.958379629628</v>
      </c>
      <c r="B1138" s="7" t="str">
        <f>HYPERLINK("https://twitter.com/luissevillarodr","@luissevillarodr")</f>
        <v>@luissevillarodr</v>
      </c>
      <c r="C1138" s="8" t="s">
        <v>4129</v>
      </c>
      <c r="D1138" s="9" t="s">
        <v>4130</v>
      </c>
      <c r="E1138" s="10" t="str">
        <f>HYPERLINK("https://twitter.com/luissevillarodr/status/1070437674954170369","1070437674954170369")</f>
        <v>1070437674954170369</v>
      </c>
      <c r="F1138" s="11"/>
      <c r="G1138" s="11"/>
      <c r="H1138" s="11"/>
      <c r="I1138" s="12">
        <v>0</v>
      </c>
      <c r="J1138" s="12">
        <v>2</v>
      </c>
      <c r="K1138" s="13" t="str">
        <f>HYPERLINK("http://twitter.com","Twitter Web Client")</f>
        <v>Twitter Web Client</v>
      </c>
      <c r="L1138" s="12">
        <v>35</v>
      </c>
      <c r="M1138" s="12">
        <v>119</v>
      </c>
      <c r="N1138" s="12">
        <v>1</v>
      </c>
      <c r="O1138" s="14"/>
      <c r="P1138" s="6">
        <v>40756.754733796297</v>
      </c>
      <c r="Q1138" s="15" t="s">
        <v>4131</v>
      </c>
      <c r="R1138" s="17" t="s">
        <v>4132</v>
      </c>
      <c r="S1138" s="11"/>
      <c r="T1138" s="11"/>
      <c r="U1138" s="10" t="str">
        <f>HYPERLINK("https://pbs.twimg.com/profile_images/1664387250/che_y_videla.jpg","View")</f>
        <v>View</v>
      </c>
    </row>
    <row r="1139" spans="1:21" ht="91.8">
      <c r="A1139" s="6">
        <v>43439.956863425927</v>
      </c>
      <c r="B1139" s="7" t="str">
        <f>HYPERLINK("https://twitter.com/sillopal","@sillopal")</f>
        <v>@sillopal</v>
      </c>
      <c r="C1139" s="8" t="s">
        <v>1728</v>
      </c>
      <c r="D1139" s="9" t="s">
        <v>4133</v>
      </c>
      <c r="E1139" s="10" t="str">
        <f>HYPERLINK("https://twitter.com/sillopal/status/1070437129036152833","1070437129036152833")</f>
        <v>1070437129036152833</v>
      </c>
      <c r="F1139" s="16" t="s">
        <v>4134</v>
      </c>
      <c r="G1139" s="16" t="s">
        <v>4017</v>
      </c>
      <c r="H1139" s="11"/>
      <c r="I1139" s="12">
        <v>0</v>
      </c>
      <c r="J1139" s="12">
        <v>0</v>
      </c>
      <c r="K1139" s="13" t="str">
        <f t="shared" ref="K1139:K1144" si="269">HYPERLINK("http://twitter.com/download/android","Twitter for Android")</f>
        <v>Twitter for Android</v>
      </c>
      <c r="L1139" s="12">
        <v>230</v>
      </c>
      <c r="M1139" s="12">
        <v>399</v>
      </c>
      <c r="N1139" s="12">
        <v>1</v>
      </c>
      <c r="O1139" s="14"/>
      <c r="P1139" s="6">
        <v>42279.871712962966</v>
      </c>
      <c r="Q1139" s="15" t="s">
        <v>197</v>
      </c>
      <c r="R1139" s="17" t="s">
        <v>1731</v>
      </c>
      <c r="S1139" s="11"/>
      <c r="T1139" s="11"/>
      <c r="U1139" s="10" t="str">
        <f>HYPERLINK("https://pbs.twimg.com/profile_images/650025200633933824/JxNNsNnB.jpg","View")</f>
        <v>View</v>
      </c>
    </row>
    <row r="1140" spans="1:21" ht="102">
      <c r="A1140" s="6">
        <v>43439.954780092594</v>
      </c>
      <c r="B1140" s="7" t="str">
        <f>HYPERLINK("https://twitter.com/memeses2","@memeses2")</f>
        <v>@memeses2</v>
      </c>
      <c r="C1140" s="8" t="s">
        <v>2495</v>
      </c>
      <c r="D1140" s="9" t="s">
        <v>4135</v>
      </c>
      <c r="E1140" s="10" t="str">
        <f>HYPERLINK("https://twitter.com/memeses2/status/1070436370882138112","1070436370882138112")</f>
        <v>1070436370882138112</v>
      </c>
      <c r="F1140" s="15" t="s">
        <v>2234</v>
      </c>
      <c r="G1140" s="11"/>
      <c r="H1140" s="11"/>
      <c r="I1140" s="12">
        <v>1</v>
      </c>
      <c r="J1140" s="12">
        <v>3</v>
      </c>
      <c r="K1140" s="13" t="str">
        <f t="shared" si="269"/>
        <v>Twitter for Android</v>
      </c>
      <c r="L1140" s="12">
        <v>818</v>
      </c>
      <c r="M1140" s="12">
        <v>749</v>
      </c>
      <c r="N1140" s="12">
        <v>1</v>
      </c>
      <c r="O1140" s="14"/>
      <c r="P1140" s="6">
        <v>43413.516655092593</v>
      </c>
      <c r="Q1140" s="15" t="s">
        <v>197</v>
      </c>
      <c r="R1140" s="17" t="s">
        <v>2499</v>
      </c>
      <c r="S1140" s="11"/>
      <c r="T1140" s="11"/>
      <c r="U1140" s="10" t="str">
        <f>HYPERLINK("https://pbs.twimg.com/profile_images/1060857415640539136/cZbEgTAv.jpg","View")</f>
        <v>View</v>
      </c>
    </row>
    <row r="1141" spans="1:21" ht="30.6">
      <c r="A1141" s="6">
        <v>43439.952453703707</v>
      </c>
      <c r="B1141" s="7" t="str">
        <f>HYPERLINK("https://twitter.com/Non_Flags","@Non_Flags")</f>
        <v>@Non_Flags</v>
      </c>
      <c r="C1141" s="8" t="s">
        <v>4136</v>
      </c>
      <c r="D1141" s="9" t="s">
        <v>4137</v>
      </c>
      <c r="E1141" s="10" t="str">
        <f>HYPERLINK("https://twitter.com/Non_Flags/status/1070435527567048704","1070435527567048704")</f>
        <v>1070435527567048704</v>
      </c>
      <c r="F1141" s="11"/>
      <c r="G1141" s="16" t="s">
        <v>4138</v>
      </c>
      <c r="H1141" s="11"/>
      <c r="I1141" s="12">
        <v>0</v>
      </c>
      <c r="J1141" s="12">
        <v>1</v>
      </c>
      <c r="K1141" s="13" t="str">
        <f t="shared" si="269"/>
        <v>Twitter for Android</v>
      </c>
      <c r="L1141" s="12">
        <v>12</v>
      </c>
      <c r="M1141" s="12">
        <v>44</v>
      </c>
      <c r="N1141" s="12">
        <v>0</v>
      </c>
      <c r="O1141" s="14"/>
      <c r="P1141" s="6">
        <v>43423.535115740742</v>
      </c>
      <c r="Q1141" s="15" t="s">
        <v>4139</v>
      </c>
      <c r="R1141" s="17" t="s">
        <v>4140</v>
      </c>
      <c r="S1141" s="11"/>
      <c r="T1141" s="11"/>
      <c r="U1141" s="10" t="str">
        <f>HYPERLINK("https://pbs.twimg.com/profile_images/1071176284389195778/jJt9OHWM.jpg","View")</f>
        <v>View</v>
      </c>
    </row>
    <row r="1142" spans="1:21" ht="51">
      <c r="A1142" s="6">
        <v>43439.948935185181</v>
      </c>
      <c r="B1142" s="7" t="str">
        <f>HYPERLINK("https://twitter.com/kodiario_","@kodiario_")</f>
        <v>@kodiario_</v>
      </c>
      <c r="C1142" s="8" t="s">
        <v>2401</v>
      </c>
      <c r="D1142" s="9" t="s">
        <v>4141</v>
      </c>
      <c r="E1142" s="10" t="str">
        <f>HYPERLINK("https://twitter.com/kodiario_/status/1070434255392661505","1070434255392661505")</f>
        <v>1070434255392661505</v>
      </c>
      <c r="F1142" s="16" t="s">
        <v>3556</v>
      </c>
      <c r="G1142" s="11"/>
      <c r="H1142" s="11"/>
      <c r="I1142" s="12">
        <v>4</v>
      </c>
      <c r="J1142" s="12">
        <v>7</v>
      </c>
      <c r="K1142" s="13" t="str">
        <f t="shared" si="269"/>
        <v>Twitter for Android</v>
      </c>
      <c r="L1142" s="12">
        <v>4619</v>
      </c>
      <c r="M1142" s="12">
        <v>332</v>
      </c>
      <c r="N1142" s="12">
        <v>57</v>
      </c>
      <c r="O1142" s="14"/>
      <c r="P1142" s="6">
        <v>42564.053425925929</v>
      </c>
      <c r="Q1142" s="11"/>
      <c r="R1142" s="17" t="s">
        <v>2404</v>
      </c>
      <c r="S1142" s="11"/>
      <c r="T1142" s="11"/>
      <c r="U1142" s="10" t="str">
        <f>HYPERLINK("https://pbs.twimg.com/profile_images/977352060571148288/z2lxbv4P.jpg","View")</f>
        <v>View</v>
      </c>
    </row>
    <row r="1143" spans="1:21" ht="51">
      <c r="A1143" s="6">
        <v>43439.945833333331</v>
      </c>
      <c r="B1143" s="7" t="str">
        <f>HYPERLINK("https://twitter.com/canasporespana","@canasporespana")</f>
        <v>@canasporespana</v>
      </c>
      <c r="C1143" s="8" t="s">
        <v>4142</v>
      </c>
      <c r="D1143" s="9" t="s">
        <v>4143</v>
      </c>
      <c r="E1143" s="10" t="str">
        <f>HYPERLINK("https://twitter.com/canasporespana/status/1070433130824241155","1070433130824241155")</f>
        <v>1070433130824241155</v>
      </c>
      <c r="F1143" s="16" t="s">
        <v>4144</v>
      </c>
      <c r="G1143" s="11"/>
      <c r="H1143" s="11"/>
      <c r="I1143" s="12">
        <v>255</v>
      </c>
      <c r="J1143" s="12">
        <v>456</v>
      </c>
      <c r="K1143" s="13" t="str">
        <f t="shared" si="269"/>
        <v>Twitter for Android</v>
      </c>
      <c r="L1143" s="12">
        <v>7264</v>
      </c>
      <c r="M1143" s="12">
        <v>217</v>
      </c>
      <c r="N1143" s="12">
        <v>41</v>
      </c>
      <c r="O1143" s="14"/>
      <c r="P1143" s="6">
        <v>42712.424108796295</v>
      </c>
      <c r="Q1143" s="15" t="s">
        <v>197</v>
      </c>
      <c r="R1143" s="17" t="s">
        <v>4145</v>
      </c>
      <c r="S1143" s="16" t="s">
        <v>1740</v>
      </c>
      <c r="T1143" s="11"/>
      <c r="U1143" s="10" t="str">
        <f>HYPERLINK("https://pbs.twimg.com/profile_images/1035610115146170368/_VF2Ge_a.jpg","View")</f>
        <v>View</v>
      </c>
    </row>
    <row r="1144" spans="1:21" ht="40.799999999999997">
      <c r="A1144" s="6">
        <v>43439.942685185189</v>
      </c>
      <c r="B1144" s="7" t="str">
        <f>HYPERLINK("https://twitter.com/ivanfo97","@ivanfo97")</f>
        <v>@ivanfo97</v>
      </c>
      <c r="C1144" s="8" t="s">
        <v>4146</v>
      </c>
      <c r="D1144" s="9" t="s">
        <v>4147</v>
      </c>
      <c r="E1144" s="10" t="str">
        <f>HYPERLINK("https://twitter.com/ivanfo97/status/1070431991022129152","1070431991022129152")</f>
        <v>1070431991022129152</v>
      </c>
      <c r="F1144" s="11"/>
      <c r="G1144" s="11"/>
      <c r="H1144" s="11"/>
      <c r="I1144" s="12">
        <v>1</v>
      </c>
      <c r="J1144" s="12">
        <v>1</v>
      </c>
      <c r="K1144" s="13" t="str">
        <f t="shared" si="269"/>
        <v>Twitter for Android</v>
      </c>
      <c r="L1144" s="12">
        <v>242</v>
      </c>
      <c r="M1144" s="12">
        <v>232</v>
      </c>
      <c r="N1144" s="12">
        <v>9</v>
      </c>
      <c r="O1144" s="14"/>
      <c r="P1144" s="6">
        <v>40901.589849537035</v>
      </c>
      <c r="Q1144" s="15" t="s">
        <v>4148</v>
      </c>
      <c r="R1144" s="17" t="s">
        <v>4149</v>
      </c>
      <c r="S1144" s="16" t="s">
        <v>4150</v>
      </c>
      <c r="T1144" s="11"/>
      <c r="U1144" s="10" t="str">
        <f>HYPERLINK("https://pbs.twimg.com/profile_images/832229686407225345/EQHYymud.jpg","View")</f>
        <v>View</v>
      </c>
    </row>
    <row r="1145" spans="1:21" ht="91.8">
      <c r="A1145" s="6">
        <v>43439.941863425927</v>
      </c>
      <c r="B1145" s="7" t="str">
        <f>HYPERLINK("https://twitter.com/AdanEsmit","@AdanEsmit")</f>
        <v>@AdanEsmit</v>
      </c>
      <c r="C1145" s="8" t="s">
        <v>4151</v>
      </c>
      <c r="D1145" s="9" t="s">
        <v>4152</v>
      </c>
      <c r="E1145" s="10" t="str">
        <f>HYPERLINK("https://twitter.com/AdanEsmit/status/1070431689674055681","1070431689674055681")</f>
        <v>1070431689674055681</v>
      </c>
      <c r="F1145" s="16" t="s">
        <v>4153</v>
      </c>
      <c r="G1145" s="16" t="s">
        <v>4154</v>
      </c>
      <c r="H1145" s="11"/>
      <c r="I1145" s="12">
        <v>0</v>
      </c>
      <c r="J1145" s="12">
        <v>0</v>
      </c>
      <c r="K1145" s="13" t="str">
        <f>HYPERLINK("http://twitter.com/#!/download/ipad","Twitter for iPad")</f>
        <v>Twitter for iPad</v>
      </c>
      <c r="L1145" s="12">
        <v>2128</v>
      </c>
      <c r="M1145" s="12">
        <v>617</v>
      </c>
      <c r="N1145" s="12">
        <v>53</v>
      </c>
      <c r="O1145" s="14"/>
      <c r="P1145" s="6">
        <v>40419.805937500001</v>
      </c>
      <c r="Q1145" s="15" t="s">
        <v>4155</v>
      </c>
      <c r="R1145" s="17" t="s">
        <v>4156</v>
      </c>
      <c r="S1145" s="16" t="s">
        <v>4157</v>
      </c>
      <c r="T1145" s="11"/>
      <c r="U1145" s="10" t="str">
        <f>HYPERLINK("https://pbs.twimg.com/profile_images/1050368398893477889/K4vZp_8d.jpg","View")</f>
        <v>View</v>
      </c>
    </row>
    <row r="1146" spans="1:21" ht="20.399999999999999">
      <c r="A1146" s="6">
        <v>43439.940150462964</v>
      </c>
      <c r="B1146" s="7" t="str">
        <f>HYPERLINK("https://twitter.com/Batalleta","@Batalleta")</f>
        <v>@Batalleta</v>
      </c>
      <c r="C1146" s="8" t="s">
        <v>4158</v>
      </c>
      <c r="D1146" s="9" t="s">
        <v>4159</v>
      </c>
      <c r="E1146" s="10" t="str">
        <f>HYPERLINK("https://twitter.com/Batalleta/status/1070431069906845696","1070431069906845696")</f>
        <v>1070431069906845696</v>
      </c>
      <c r="F1146" s="11"/>
      <c r="G1146" s="11"/>
      <c r="H1146" s="11"/>
      <c r="I1146" s="12">
        <v>0</v>
      </c>
      <c r="J1146" s="12">
        <v>2</v>
      </c>
      <c r="K1146" s="13" t="str">
        <f>HYPERLINK("http://twitter.com/download/iphone","Twitter for iPhone")</f>
        <v>Twitter for iPhone</v>
      </c>
      <c r="L1146" s="12">
        <v>675</v>
      </c>
      <c r="M1146" s="12">
        <v>637</v>
      </c>
      <c r="N1146" s="12">
        <v>7</v>
      </c>
      <c r="O1146" s="14"/>
      <c r="P1146" s="6">
        <v>40560.780844907407</v>
      </c>
      <c r="Q1146" s="15" t="s">
        <v>4160</v>
      </c>
      <c r="R1146" s="17" t="s">
        <v>4161</v>
      </c>
      <c r="S1146" s="11"/>
      <c r="T1146" s="11"/>
      <c r="U1146" s="10" t="str">
        <f>HYPERLINK("https://pbs.twimg.com/profile_images/916756635703529476/vu_ji5u8.jpg","View")</f>
        <v>View</v>
      </c>
    </row>
    <row r="1147" spans="1:21" ht="40.799999999999997">
      <c r="A1147" s="6">
        <v>43439.939675925925</v>
      </c>
      <c r="B1147" s="7" t="str">
        <f>HYPERLINK("https://twitter.com/racionalismoESP","@racionalismoESP")</f>
        <v>@racionalismoESP</v>
      </c>
      <c r="C1147" s="8" t="s">
        <v>4162</v>
      </c>
      <c r="D1147" s="9" t="s">
        <v>4163</v>
      </c>
      <c r="E1147" s="10" t="str">
        <f>HYPERLINK("https://twitter.com/racionalismoESP/status/1070430898099761165","1070430898099761165")</f>
        <v>1070430898099761165</v>
      </c>
      <c r="F1147" s="16" t="s">
        <v>1568</v>
      </c>
      <c r="G1147" s="11"/>
      <c r="H1147" s="11"/>
      <c r="I1147" s="12">
        <v>0</v>
      </c>
      <c r="J1147" s="12">
        <v>0</v>
      </c>
      <c r="K1147" s="13" t="str">
        <f t="shared" ref="K1147:K1148" si="270">HYPERLINK("http://twitter.com/download/android","Twitter for Android")</f>
        <v>Twitter for Android</v>
      </c>
      <c r="L1147" s="12">
        <v>9</v>
      </c>
      <c r="M1147" s="12">
        <v>32</v>
      </c>
      <c r="N1147" s="12">
        <v>0</v>
      </c>
      <c r="O1147" s="14"/>
      <c r="P1147" s="6">
        <v>40438.990624999999</v>
      </c>
      <c r="Q1147" s="11"/>
      <c r="R1147" s="18"/>
      <c r="S1147" s="11"/>
      <c r="T1147" s="11"/>
      <c r="U1147" s="10" t="str">
        <f>HYPERLINK("https://pbs.twimg.com/profile_images/1062110991666872320/Hy_CZCrB.jpg","View")</f>
        <v>View</v>
      </c>
    </row>
    <row r="1148" spans="1:21" ht="30.6">
      <c r="A1148" s="6">
        <v>43439.939513888894</v>
      </c>
      <c r="B1148" s="7" t="str">
        <f>HYPERLINK("https://twitter.com/Pablito_Pablera","@Pablito_Pablera")</f>
        <v>@Pablito_Pablera</v>
      </c>
      <c r="C1148" s="8" t="s">
        <v>413</v>
      </c>
      <c r="D1148" s="9" t="s">
        <v>4164</v>
      </c>
      <c r="E1148" s="10" t="str">
        <f>HYPERLINK("https://twitter.com/Pablito_Pablera/status/1070430839585026048","1070430839585026048")</f>
        <v>1070430839585026048</v>
      </c>
      <c r="F1148" s="11"/>
      <c r="G1148" s="16" t="s">
        <v>2023</v>
      </c>
      <c r="H1148" s="11"/>
      <c r="I1148" s="12">
        <v>31</v>
      </c>
      <c r="J1148" s="12">
        <v>39</v>
      </c>
      <c r="K1148" s="13" t="str">
        <f t="shared" si="270"/>
        <v>Twitter for Android</v>
      </c>
      <c r="L1148" s="12">
        <v>502</v>
      </c>
      <c r="M1148" s="12">
        <v>647</v>
      </c>
      <c r="N1148" s="12">
        <v>4</v>
      </c>
      <c r="O1148" s="14"/>
      <c r="P1148" s="6">
        <v>42705.75608796296</v>
      </c>
      <c r="Q1148" s="15" t="s">
        <v>197</v>
      </c>
      <c r="R1148" s="17" t="s">
        <v>416</v>
      </c>
      <c r="S1148" s="11"/>
      <c r="T1148" s="11"/>
      <c r="U1148" s="10" t="str">
        <f>HYPERLINK("https://pbs.twimg.com/profile_images/919922301767954432/OemcINBC.jpg","View")</f>
        <v>View</v>
      </c>
    </row>
    <row r="1149" spans="1:21" ht="51">
      <c r="A1149" s="6">
        <v>43439.938784722224</v>
      </c>
      <c r="B1149" s="7" t="str">
        <f>HYPERLINK("https://twitter.com/tedrguez","@tedrguez")</f>
        <v>@tedrguez</v>
      </c>
      <c r="C1149" s="8" t="s">
        <v>4165</v>
      </c>
      <c r="D1149" s="9" t="s">
        <v>4166</v>
      </c>
      <c r="E1149" s="10" t="str">
        <f>HYPERLINK("https://twitter.com/tedrguez/status/1070430575813636097","1070430575813636097")</f>
        <v>1070430575813636097</v>
      </c>
      <c r="F1149" s="11"/>
      <c r="G1149" s="11"/>
      <c r="H1149" s="11"/>
      <c r="I1149" s="12">
        <v>0</v>
      </c>
      <c r="J1149" s="12">
        <v>5</v>
      </c>
      <c r="K1149" s="13" t="str">
        <f>HYPERLINK("http://twitter.com/download/iphone","Twitter for iPhone")</f>
        <v>Twitter for iPhone</v>
      </c>
      <c r="L1149" s="12">
        <v>32</v>
      </c>
      <c r="M1149" s="12">
        <v>39</v>
      </c>
      <c r="N1149" s="12">
        <v>0</v>
      </c>
      <c r="O1149" s="14"/>
      <c r="P1149" s="6">
        <v>43225.778657407413</v>
      </c>
      <c r="Q1149" s="15" t="s">
        <v>4167</v>
      </c>
      <c r="R1149" s="17" t="s">
        <v>4168</v>
      </c>
      <c r="S1149" s="11"/>
      <c r="T1149" s="11"/>
      <c r="U1149" s="10" t="str">
        <f>HYPERLINK("https://pbs.twimg.com/profile_images/1059141416012734464/n-Ndg8Tb.jpg","View")</f>
        <v>View</v>
      </c>
    </row>
    <row r="1150" spans="1:21" ht="51">
      <c r="A1150" s="6">
        <v>43439.938761574071</v>
      </c>
      <c r="B1150" s="7" t="str">
        <f>HYPERLINK("https://twitter.com/SahndrahFdrah","@SahndrahFdrah")</f>
        <v>@SahndrahFdrah</v>
      </c>
      <c r="C1150" s="8" t="s">
        <v>4169</v>
      </c>
      <c r="D1150" s="9" t="s">
        <v>4170</v>
      </c>
      <c r="E1150" s="10" t="str">
        <f>HYPERLINK("https://twitter.com/SahndrahFdrah/status/1070430566951071759","1070430566951071759")</f>
        <v>1070430566951071759</v>
      </c>
      <c r="F1150" s="11"/>
      <c r="G1150" s="11"/>
      <c r="H1150" s="11"/>
      <c r="I1150" s="12">
        <v>1</v>
      </c>
      <c r="J1150" s="12">
        <v>5</v>
      </c>
      <c r="K1150" s="13" t="str">
        <f t="shared" ref="K1150:K1153" si="271">HYPERLINK("http://twitter.com/download/android","Twitter for Android")</f>
        <v>Twitter for Android</v>
      </c>
      <c r="L1150" s="12">
        <v>803</v>
      </c>
      <c r="M1150" s="12">
        <v>696</v>
      </c>
      <c r="N1150" s="12">
        <v>14</v>
      </c>
      <c r="O1150" s="14"/>
      <c r="P1150" s="6">
        <v>42314.064907407403</v>
      </c>
      <c r="Q1150" s="15" t="s">
        <v>157</v>
      </c>
      <c r="R1150" s="17" t="s">
        <v>4171</v>
      </c>
      <c r="S1150" s="11"/>
      <c r="T1150" s="11"/>
      <c r="U1150" s="10" t="str">
        <f>HYPERLINK("https://pbs.twimg.com/profile_images/1013619271027523584/Jevwgu-0.jpg","View")</f>
        <v>View</v>
      </c>
    </row>
    <row r="1151" spans="1:21" ht="30.6">
      <c r="A1151" s="6">
        <v>43439.938333333332</v>
      </c>
      <c r="B1151" s="7" t="str">
        <f>HYPERLINK("https://twitter.com/8nunogrande","@8nunogrande")</f>
        <v>@8nunogrande</v>
      </c>
      <c r="C1151" s="8" t="s">
        <v>4172</v>
      </c>
      <c r="D1151" s="9" t="s">
        <v>4173</v>
      </c>
      <c r="E1151" s="10" t="str">
        <f>HYPERLINK("https://twitter.com/8nunogrande/status/1070430413011738624","1070430413011738624")</f>
        <v>1070430413011738624</v>
      </c>
      <c r="F1151" s="11"/>
      <c r="G1151" s="11"/>
      <c r="H1151" s="11"/>
      <c r="I1151" s="12">
        <v>0</v>
      </c>
      <c r="J1151" s="12">
        <v>2</v>
      </c>
      <c r="K1151" s="13" t="str">
        <f t="shared" si="271"/>
        <v>Twitter for Android</v>
      </c>
      <c r="L1151" s="12">
        <v>5</v>
      </c>
      <c r="M1151" s="12">
        <v>9</v>
      </c>
      <c r="N1151" s="12">
        <v>0</v>
      </c>
      <c r="O1151" s="14"/>
      <c r="P1151" s="6">
        <v>43413.868055555555</v>
      </c>
      <c r="Q1151" s="15" t="s">
        <v>612</v>
      </c>
      <c r="R1151" s="17" t="s">
        <v>4174</v>
      </c>
      <c r="S1151" s="11"/>
      <c r="T1151" s="11"/>
      <c r="U1151" s="10" t="str">
        <f>HYPERLINK("https://pbs.twimg.com/profile_images/1060984882455855104/oP2IqkM3.jpg","View")</f>
        <v>View</v>
      </c>
    </row>
    <row r="1152" spans="1:21" ht="51">
      <c r="A1152" s="6">
        <v>43439.937326388885</v>
      </c>
      <c r="B1152" s="7" t="str">
        <f>HYPERLINK("https://twitter.com/MallorKaos","@MallorKaos")</f>
        <v>@MallorKaos</v>
      </c>
      <c r="C1152" s="8" t="s">
        <v>4175</v>
      </c>
      <c r="D1152" s="9" t="s">
        <v>4176</v>
      </c>
      <c r="E1152" s="10" t="str">
        <f>HYPERLINK("https://twitter.com/MallorKaos/status/1070430048195371008","1070430048195371008")</f>
        <v>1070430048195371008</v>
      </c>
      <c r="F1152" s="11"/>
      <c r="G1152" s="11"/>
      <c r="H1152" s="11"/>
      <c r="I1152" s="12">
        <v>1</v>
      </c>
      <c r="J1152" s="12">
        <v>4</v>
      </c>
      <c r="K1152" s="13" t="str">
        <f t="shared" si="271"/>
        <v>Twitter for Android</v>
      </c>
      <c r="L1152" s="12">
        <v>3947</v>
      </c>
      <c r="M1152" s="12">
        <v>3140</v>
      </c>
      <c r="N1152" s="12">
        <v>26</v>
      </c>
      <c r="O1152" s="14"/>
      <c r="P1152" s="6">
        <v>42055.039942129632</v>
      </c>
      <c r="Q1152" s="15" t="s">
        <v>4177</v>
      </c>
      <c r="R1152" s="17" t="s">
        <v>4178</v>
      </c>
      <c r="S1152" s="11"/>
      <c r="T1152" s="11"/>
      <c r="U1152" s="10" t="str">
        <f>HYPERLINK("https://pbs.twimg.com/profile_images/1053223902036549632/lk7kZgOU.jpg","View")</f>
        <v>View</v>
      </c>
    </row>
    <row r="1153" spans="1:21" ht="40.799999999999997">
      <c r="A1153" s="6">
        <v>43439.937175925923</v>
      </c>
      <c r="B1153" s="7" t="str">
        <f>HYPERLINK("https://twitter.com/doguionrego","@doguionrego")</f>
        <v>@doguionrego</v>
      </c>
      <c r="C1153" s="8" t="s">
        <v>194</v>
      </c>
      <c r="D1153" s="9" t="s">
        <v>4179</v>
      </c>
      <c r="E1153" s="10" t="str">
        <f>HYPERLINK("https://twitter.com/doguionrego/status/1070429993992368139","1070429993992368139")</f>
        <v>1070429993992368139</v>
      </c>
      <c r="F1153" s="15" t="s">
        <v>4180</v>
      </c>
      <c r="G1153" s="11"/>
      <c r="H1153" s="11"/>
      <c r="I1153" s="12">
        <v>0</v>
      </c>
      <c r="J1153" s="12">
        <v>0</v>
      </c>
      <c r="K1153" s="13" t="str">
        <f t="shared" si="271"/>
        <v>Twitter for Android</v>
      </c>
      <c r="L1153" s="12">
        <v>4650</v>
      </c>
      <c r="M1153" s="12">
        <v>4774</v>
      </c>
      <c r="N1153" s="12">
        <v>9</v>
      </c>
      <c r="O1153" s="14"/>
      <c r="P1153" s="6">
        <v>42818.633599537032</v>
      </c>
      <c r="Q1153" s="15" t="s">
        <v>197</v>
      </c>
      <c r="R1153" s="17" t="s">
        <v>198</v>
      </c>
      <c r="S1153" s="11"/>
      <c r="T1153" s="11"/>
      <c r="U1153" s="10" t="str">
        <f>HYPERLINK("https://pbs.twimg.com/profile_images/937615481602789376/OBa7YPsM.jpg","View")</f>
        <v>View</v>
      </c>
    </row>
    <row r="1154" spans="1:21" ht="30.6">
      <c r="A1154" s="6">
        <v>43439.935925925922</v>
      </c>
      <c r="B1154" s="7" t="str">
        <f>HYPERLINK("https://twitter.com/Snuff","@Snuff")</f>
        <v>@Snuff</v>
      </c>
      <c r="C1154" s="8" t="s">
        <v>4181</v>
      </c>
      <c r="D1154" s="9" t="s">
        <v>4182</v>
      </c>
      <c r="E1154" s="10" t="str">
        <f>HYPERLINK("https://twitter.com/Snuff/status/1070429540764266497","1070429540764266497")</f>
        <v>1070429540764266497</v>
      </c>
      <c r="F1154" s="11"/>
      <c r="G1154" s="11"/>
      <c r="H1154" s="11"/>
      <c r="I1154" s="12">
        <v>1</v>
      </c>
      <c r="J1154" s="12">
        <v>7</v>
      </c>
      <c r="K1154" s="13" t="str">
        <f>HYPERLINK("http://twitter.com","Twitter Web Client")</f>
        <v>Twitter Web Client</v>
      </c>
      <c r="L1154" s="12">
        <v>1480</v>
      </c>
      <c r="M1154" s="12">
        <v>1991</v>
      </c>
      <c r="N1154" s="12">
        <v>37</v>
      </c>
      <c r="O1154" s="14"/>
      <c r="P1154" s="6">
        <v>39461.614444444444</v>
      </c>
      <c r="Q1154" s="15" t="s">
        <v>4183</v>
      </c>
      <c r="R1154" s="17" t="s">
        <v>4184</v>
      </c>
      <c r="S1154" s="16" t="s">
        <v>4185</v>
      </c>
      <c r="T1154" s="11"/>
      <c r="U1154" s="10" t="str">
        <f>HYPERLINK("https://pbs.twimg.com/profile_images/1059871287403782149/v0PbcYd3.jpg","View")</f>
        <v>View</v>
      </c>
    </row>
    <row r="1155" spans="1:21" ht="40.799999999999997">
      <c r="A1155" s="6">
        <v>43439.934421296297</v>
      </c>
      <c r="B1155" s="7" t="str">
        <f>HYPERLINK("https://twitter.com/ferrablan","@ferrablan")</f>
        <v>@ferrablan</v>
      </c>
      <c r="C1155" s="8" t="s">
        <v>4186</v>
      </c>
      <c r="D1155" s="9" t="s">
        <v>4187</v>
      </c>
      <c r="E1155" s="10" t="str">
        <f>HYPERLINK("https://twitter.com/ferrablan/status/1070428992526790662","1070428992526790662")</f>
        <v>1070428992526790662</v>
      </c>
      <c r="F1155" s="11"/>
      <c r="G1155" s="11"/>
      <c r="H1155" s="11"/>
      <c r="I1155" s="12">
        <v>0</v>
      </c>
      <c r="J1155" s="12">
        <v>0</v>
      </c>
      <c r="K1155" s="13" t="str">
        <f t="shared" ref="K1155:K1158" si="272">HYPERLINK("http://twitter.com/download/android","Twitter for Android")</f>
        <v>Twitter for Android</v>
      </c>
      <c r="L1155" s="12">
        <v>285</v>
      </c>
      <c r="M1155" s="12">
        <v>670</v>
      </c>
      <c r="N1155" s="12">
        <v>3</v>
      </c>
      <c r="O1155" s="14"/>
      <c r="P1155" s="6">
        <v>41164.052129629628</v>
      </c>
      <c r="Q1155" s="15" t="s">
        <v>1359</v>
      </c>
      <c r="R1155" s="17" t="s">
        <v>4188</v>
      </c>
      <c r="S1155" s="11"/>
      <c r="T1155" s="11"/>
      <c r="U1155" s="10" t="str">
        <f>HYPERLINK("https://pbs.twimg.com/profile_images/841409978879602688/FbFphhXn.jpg","View")</f>
        <v>View</v>
      </c>
    </row>
    <row r="1156" spans="1:21" ht="40.799999999999997">
      <c r="A1156" s="6">
        <v>43439.934085648143</v>
      </c>
      <c r="B1156" s="7" t="str">
        <f>HYPERLINK("https://twitter.com/ximoilicitano14","@ximoilicitano14")</f>
        <v>@ximoilicitano14</v>
      </c>
      <c r="C1156" s="8" t="s">
        <v>1914</v>
      </c>
      <c r="D1156" s="9" t="s">
        <v>4189</v>
      </c>
      <c r="E1156" s="10" t="str">
        <f>HYPERLINK("https://twitter.com/ximoilicitano14/status/1070428873324683265","1070428873324683265")</f>
        <v>1070428873324683265</v>
      </c>
      <c r="F1156" s="11"/>
      <c r="G1156" s="16" t="s">
        <v>4190</v>
      </c>
      <c r="H1156" s="11"/>
      <c r="I1156" s="12">
        <v>2</v>
      </c>
      <c r="J1156" s="12">
        <v>3</v>
      </c>
      <c r="K1156" s="13" t="str">
        <f t="shared" si="272"/>
        <v>Twitter for Android</v>
      </c>
      <c r="L1156" s="12">
        <v>811</v>
      </c>
      <c r="M1156" s="12">
        <v>1053</v>
      </c>
      <c r="N1156" s="12">
        <v>8</v>
      </c>
      <c r="O1156" s="14"/>
      <c r="P1156" s="6">
        <v>41955.035405092596</v>
      </c>
      <c r="Q1156" s="11"/>
      <c r="R1156" s="17" t="s">
        <v>1917</v>
      </c>
      <c r="S1156" s="16" t="s">
        <v>1918</v>
      </c>
      <c r="T1156" s="11"/>
      <c r="U1156" s="10" t="str">
        <f>HYPERLINK("https://pbs.twimg.com/profile_images/1025622799283630080/BeM9PIam.jpg","View")</f>
        <v>View</v>
      </c>
    </row>
    <row r="1157" spans="1:21" ht="51">
      <c r="A1157" s="6">
        <v>43439.933946759258</v>
      </c>
      <c r="B1157" s="7" t="str">
        <f>HYPERLINK("https://twitter.com/Otriadas","@Otriadas")</f>
        <v>@Otriadas</v>
      </c>
      <c r="C1157" s="8" t="s">
        <v>4191</v>
      </c>
      <c r="D1157" s="9" t="s">
        <v>4192</v>
      </c>
      <c r="E1157" s="10" t="str">
        <f>HYPERLINK("https://twitter.com/Otriadas/status/1070428824314228737","1070428824314228737")</f>
        <v>1070428824314228737</v>
      </c>
      <c r="F1157" s="11"/>
      <c r="G1157" s="11"/>
      <c r="H1157" s="11"/>
      <c r="I1157" s="12">
        <v>4</v>
      </c>
      <c r="J1157" s="12">
        <v>6</v>
      </c>
      <c r="K1157" s="13" t="str">
        <f t="shared" si="272"/>
        <v>Twitter for Android</v>
      </c>
      <c r="L1157" s="12">
        <v>611</v>
      </c>
      <c r="M1157" s="12">
        <v>186</v>
      </c>
      <c r="N1157" s="12">
        <v>45</v>
      </c>
      <c r="O1157" s="14"/>
      <c r="P1157" s="6">
        <v>42811.335625</v>
      </c>
      <c r="Q1157" s="15" t="s">
        <v>4193</v>
      </c>
      <c r="R1157" s="17" t="s">
        <v>4194</v>
      </c>
      <c r="S1157" s="11"/>
      <c r="T1157" s="11"/>
      <c r="U1157" s="10" t="str">
        <f>HYPERLINK("https://pbs.twimg.com/profile_images/975392206465970178/xCpMnT7O.jpg","View")</f>
        <v>View</v>
      </c>
    </row>
    <row r="1158" spans="1:21" ht="40.799999999999997">
      <c r="A1158" s="6">
        <v>43439.933182870373</v>
      </c>
      <c r="B1158" s="7" t="str">
        <f>HYPERLINK("https://twitter.com/Antisistema74","@Antisistema74")</f>
        <v>@Antisistema74</v>
      </c>
      <c r="C1158" s="8" t="s">
        <v>4195</v>
      </c>
      <c r="D1158" s="9" t="s">
        <v>4196</v>
      </c>
      <c r="E1158" s="10" t="str">
        <f>HYPERLINK("https://twitter.com/Antisistema74/status/1070428545401479169","1070428545401479169")</f>
        <v>1070428545401479169</v>
      </c>
      <c r="F1158" s="11"/>
      <c r="G1158" s="11"/>
      <c r="H1158" s="11"/>
      <c r="I1158" s="12">
        <v>4</v>
      </c>
      <c r="J1158" s="12">
        <v>5</v>
      </c>
      <c r="K1158" s="13" t="str">
        <f t="shared" si="272"/>
        <v>Twitter for Android</v>
      </c>
      <c r="L1158" s="12">
        <v>9243</v>
      </c>
      <c r="M1158" s="12">
        <v>3009</v>
      </c>
      <c r="N1158" s="12">
        <v>52</v>
      </c>
      <c r="O1158" s="14"/>
      <c r="P1158" s="6">
        <v>42459.892187500001</v>
      </c>
      <c r="Q1158" s="15" t="s">
        <v>4197</v>
      </c>
      <c r="R1158" s="17" t="s">
        <v>4198</v>
      </c>
      <c r="S1158" s="11"/>
      <c r="T1158" s="11"/>
      <c r="U1158" s="10" t="str">
        <f>HYPERLINK("https://pbs.twimg.com/profile_images/924675579412086785/cwQ_76rC.jpg","View")</f>
        <v>View</v>
      </c>
    </row>
    <row r="1159" spans="1:21" ht="91.8">
      <c r="A1159" s="6">
        <v>43439.931655092594</v>
      </c>
      <c r="B1159" s="7" t="str">
        <f>HYPERLINK("https://twitter.com/soryonce","@soryonce")</f>
        <v>@soryonce</v>
      </c>
      <c r="C1159" s="8" t="s">
        <v>4199</v>
      </c>
      <c r="D1159" s="9" t="s">
        <v>4200</v>
      </c>
      <c r="E1159" s="10" t="str">
        <f>HYPERLINK("https://twitter.com/soryonce/status/1070427991086379031","1070427991086379031")</f>
        <v>1070427991086379031</v>
      </c>
      <c r="F1159" s="15" t="s">
        <v>4201</v>
      </c>
      <c r="G1159" s="16" t="s">
        <v>4202</v>
      </c>
      <c r="H1159" s="11"/>
      <c r="I1159" s="12">
        <v>0</v>
      </c>
      <c r="J1159" s="12">
        <v>0</v>
      </c>
      <c r="K1159" s="13" t="str">
        <f>HYPERLINK("http://twitter.com/download/iphone","Twitter for iPhone")</f>
        <v>Twitter for iPhone</v>
      </c>
      <c r="L1159" s="12">
        <v>4442</v>
      </c>
      <c r="M1159" s="12">
        <v>349</v>
      </c>
      <c r="N1159" s="12">
        <v>29</v>
      </c>
      <c r="O1159" s="14"/>
      <c r="P1159" s="6">
        <v>41658.944039351853</v>
      </c>
      <c r="Q1159" s="15" t="s">
        <v>312</v>
      </c>
      <c r="R1159" s="17" t="s">
        <v>4203</v>
      </c>
      <c r="S1159" s="16" t="s">
        <v>4204</v>
      </c>
      <c r="T1159" s="11"/>
      <c r="U1159" s="10" t="str">
        <f>HYPERLINK("https://pbs.twimg.com/profile_images/1071035280856150016/v8tX-nVT.jpg","View")</f>
        <v>View</v>
      </c>
    </row>
    <row r="1160" spans="1:21" ht="112.2">
      <c r="A1160" s="6">
        <v>43439.931585648148</v>
      </c>
      <c r="B1160" s="7" t="str">
        <f>HYPERLINK("https://twitter.com/PuebloOrig_tuc","@PuebloOrig_tuc")</f>
        <v>@PuebloOrig_tuc</v>
      </c>
      <c r="C1160" s="8" t="s">
        <v>4205</v>
      </c>
      <c r="D1160" s="9" t="s">
        <v>4206</v>
      </c>
      <c r="E1160" s="10" t="str">
        <f>HYPERLINK("https://twitter.com/PuebloOrig_tuc/status/1070427968298725392","1070427968298725392")</f>
        <v>1070427968298725392</v>
      </c>
      <c r="F1160" s="16" t="s">
        <v>4207</v>
      </c>
      <c r="G1160" s="16" t="s">
        <v>4208</v>
      </c>
      <c r="H1160" s="11"/>
      <c r="I1160" s="12">
        <v>0</v>
      </c>
      <c r="J1160" s="12">
        <v>0</v>
      </c>
      <c r="K1160" s="13" t="str">
        <f>HYPERLINK("https://mobile.twitter.com","Twitter Lite")</f>
        <v>Twitter Lite</v>
      </c>
      <c r="L1160" s="12">
        <v>402</v>
      </c>
      <c r="M1160" s="12">
        <v>1002</v>
      </c>
      <c r="N1160" s="12">
        <v>1</v>
      </c>
      <c r="O1160" s="14"/>
      <c r="P1160" s="6">
        <v>41509.175983796296</v>
      </c>
      <c r="Q1160" s="15" t="s">
        <v>4209</v>
      </c>
      <c r="R1160" s="17" t="s">
        <v>4210</v>
      </c>
      <c r="S1160" s="16" t="s">
        <v>4211</v>
      </c>
      <c r="T1160" s="11"/>
      <c r="U1160" s="10" t="str">
        <f>HYPERLINK("https://pbs.twimg.com/profile_images/378800000342535148/3c34e8a4f2079ebe5664279f263789fb.jpeg","View")</f>
        <v>View</v>
      </c>
    </row>
    <row r="1161" spans="1:21" ht="81.599999999999994">
      <c r="A1161" s="6">
        <v>43439.931261574078</v>
      </c>
      <c r="B1161" s="7" t="str">
        <f>HYPERLINK("https://twitter.com/rococa2000","@rococa2000")</f>
        <v>@rococa2000</v>
      </c>
      <c r="C1161" s="8" t="s">
        <v>4212</v>
      </c>
      <c r="D1161" s="9" t="s">
        <v>4213</v>
      </c>
      <c r="E1161" s="10" t="str">
        <f>HYPERLINK("https://twitter.com/rococa2000/status/1070427851051151381","1070427851051151381")</f>
        <v>1070427851051151381</v>
      </c>
      <c r="F1161" s="16" t="s">
        <v>43</v>
      </c>
      <c r="G1161" s="11"/>
      <c r="H1161" s="11"/>
      <c r="I1161" s="12">
        <v>1</v>
      </c>
      <c r="J1161" s="12">
        <v>1</v>
      </c>
      <c r="K1161" s="13" t="str">
        <f>HYPERLINK("http://twitter.com","Twitter Web Client")</f>
        <v>Twitter Web Client</v>
      </c>
      <c r="L1161" s="12">
        <v>32</v>
      </c>
      <c r="M1161" s="12">
        <v>97</v>
      </c>
      <c r="N1161" s="12">
        <v>0</v>
      </c>
      <c r="O1161" s="14"/>
      <c r="P1161" s="6">
        <v>42484.901412037041</v>
      </c>
      <c r="Q1161" s="15" t="s">
        <v>580</v>
      </c>
      <c r="R1161" s="17" t="s">
        <v>4214</v>
      </c>
      <c r="S1161" s="11"/>
      <c r="T1161" s="11"/>
      <c r="U1161" s="10" t="str">
        <f>HYPERLINK("https://pbs.twimg.com/profile_images/782623400984514561/JQLB2jtD.jpg","View")</f>
        <v>View</v>
      </c>
    </row>
    <row r="1162" spans="1:21" ht="40.799999999999997">
      <c r="A1162" s="6">
        <v>43439.930995370371</v>
      </c>
      <c r="B1162" s="7" t="str">
        <f>HYPERLINK("https://twitter.com/ximoilicitano14","@ximoilicitano14")</f>
        <v>@ximoilicitano14</v>
      </c>
      <c r="C1162" s="8" t="s">
        <v>1914</v>
      </c>
      <c r="D1162" s="9" t="s">
        <v>4215</v>
      </c>
      <c r="E1162" s="10" t="str">
        <f>HYPERLINK("https://twitter.com/ximoilicitano14/status/1070427751889453057","1070427751889453057")</f>
        <v>1070427751889453057</v>
      </c>
      <c r="F1162" s="11"/>
      <c r="G1162" s="16" t="s">
        <v>4216</v>
      </c>
      <c r="H1162" s="11"/>
      <c r="I1162" s="12">
        <v>11</v>
      </c>
      <c r="J1162" s="12">
        <v>8</v>
      </c>
      <c r="K1162" s="13" t="str">
        <f>HYPERLINK("http://twitter.com/download/android","Twitter for Android")</f>
        <v>Twitter for Android</v>
      </c>
      <c r="L1162" s="12">
        <v>811</v>
      </c>
      <c r="M1162" s="12">
        <v>1053</v>
      </c>
      <c r="N1162" s="12">
        <v>8</v>
      </c>
      <c r="O1162" s="14"/>
      <c r="P1162" s="6">
        <v>41955.035405092596</v>
      </c>
      <c r="Q1162" s="11"/>
      <c r="R1162" s="17" t="s">
        <v>1917</v>
      </c>
      <c r="S1162" s="16" t="s">
        <v>1918</v>
      </c>
      <c r="T1162" s="11"/>
      <c r="U1162" s="10" t="str">
        <f>HYPERLINK("https://pbs.twimg.com/profile_images/1025622799283630080/BeM9PIam.jpg","View")</f>
        <v>View</v>
      </c>
    </row>
    <row r="1163" spans="1:21" ht="20.399999999999999">
      <c r="A1163" s="6">
        <v>43439.929409722223</v>
      </c>
      <c r="B1163" s="7" t="str">
        <f>HYPERLINK("https://twitter.com/guajalicia","@guajalicia")</f>
        <v>@guajalicia</v>
      </c>
      <c r="C1163" s="8" t="s">
        <v>4217</v>
      </c>
      <c r="D1163" s="9" t="s">
        <v>4218</v>
      </c>
      <c r="E1163" s="10" t="str">
        <f>HYPERLINK("https://twitter.com/guajalicia/status/1070427178024742914","1070427178024742914")</f>
        <v>1070427178024742914</v>
      </c>
      <c r="F1163" s="11"/>
      <c r="G1163" s="16" t="s">
        <v>4219</v>
      </c>
      <c r="H1163" s="11"/>
      <c r="I1163" s="12">
        <v>0</v>
      </c>
      <c r="J1163" s="12">
        <v>0</v>
      </c>
      <c r="K1163" s="13" t="str">
        <f>HYPERLINK("http://twitter.com","Twitter Web Client")</f>
        <v>Twitter Web Client</v>
      </c>
      <c r="L1163" s="12">
        <v>680</v>
      </c>
      <c r="M1163" s="12">
        <v>1252</v>
      </c>
      <c r="N1163" s="12">
        <v>5</v>
      </c>
      <c r="O1163" s="14"/>
      <c r="P1163" s="6">
        <v>40026.010254629626</v>
      </c>
      <c r="Q1163" s="15" t="s">
        <v>197</v>
      </c>
      <c r="R1163" s="18"/>
      <c r="S1163" s="11"/>
      <c r="T1163" s="11"/>
      <c r="U1163" s="10" t="str">
        <f>HYPERLINK("https://pbs.twimg.com/profile_images/977988003800010752/Wg6gK98M.jpg","View")</f>
        <v>View</v>
      </c>
    </row>
    <row r="1164" spans="1:21" ht="51">
      <c r="A1164" s="6">
        <v>43439.92869212963</v>
      </c>
      <c r="B1164" s="7" t="str">
        <f>HYPERLINK("https://twitter.com/bitMomentum","@bitMomentum")</f>
        <v>@bitMomentum</v>
      </c>
      <c r="C1164" s="8" t="s">
        <v>82</v>
      </c>
      <c r="D1164" s="9" t="s">
        <v>4220</v>
      </c>
      <c r="E1164" s="10" t="str">
        <f>HYPERLINK("https://twitter.com/bitMomentum/status/1070426918091153414","1070426918091153414")</f>
        <v>1070426918091153414</v>
      </c>
      <c r="F1164" s="11"/>
      <c r="G1164" s="16" t="s">
        <v>4221</v>
      </c>
      <c r="H1164" s="11"/>
      <c r="I1164" s="12">
        <v>0</v>
      </c>
      <c r="J1164" s="12">
        <v>0</v>
      </c>
      <c r="K1164" s="13" t="str">
        <f>HYPERLINK("http://www.bitmomentum.com","bitMomentum Bot")</f>
        <v>bitMomentum Bot</v>
      </c>
      <c r="L1164" s="12">
        <v>10253</v>
      </c>
      <c r="M1164" s="12">
        <v>1059</v>
      </c>
      <c r="N1164" s="12">
        <v>263</v>
      </c>
      <c r="O1164" s="14"/>
      <c r="P1164" s="6">
        <v>41608.667511574073</v>
      </c>
      <c r="Q1164" s="11"/>
      <c r="R1164" s="17" t="s">
        <v>84</v>
      </c>
      <c r="S1164" s="16" t="s">
        <v>85</v>
      </c>
      <c r="T1164" s="11"/>
      <c r="U1164" s="10" t="str">
        <f>HYPERLINK("https://pbs.twimg.com/profile_images/378800000862185241/20ij2H3u.png","View")</f>
        <v>View</v>
      </c>
    </row>
    <row r="1165" spans="1:21" ht="61.2">
      <c r="A1165" s="6">
        <v>43439.928622685184</v>
      </c>
      <c r="B1165" s="7" t="str">
        <f>HYPERLINK("https://twitter.com/mgd_1970","@mgd_1970")</f>
        <v>@mgd_1970</v>
      </c>
      <c r="C1165" s="8" t="s">
        <v>4222</v>
      </c>
      <c r="D1165" s="9" t="s">
        <v>4223</v>
      </c>
      <c r="E1165" s="10" t="str">
        <f>HYPERLINK("https://twitter.com/mgd_1970/status/1070426894909222923","1070426894909222923")</f>
        <v>1070426894909222923</v>
      </c>
      <c r="F1165" s="16" t="s">
        <v>4224</v>
      </c>
      <c r="G1165" s="16" t="s">
        <v>4225</v>
      </c>
      <c r="H1165" s="11"/>
      <c r="I1165" s="12">
        <v>0</v>
      </c>
      <c r="J1165" s="12">
        <v>0</v>
      </c>
      <c r="K1165" s="13" t="str">
        <f>HYPERLINK("http://twitter.com/download/android","Twitter for Android")</f>
        <v>Twitter for Android</v>
      </c>
      <c r="L1165" s="12">
        <v>1843</v>
      </c>
      <c r="M1165" s="12">
        <v>2115</v>
      </c>
      <c r="N1165" s="12">
        <v>81</v>
      </c>
      <c r="O1165" s="14"/>
      <c r="P1165" s="6">
        <v>40521.552372685182</v>
      </c>
      <c r="Q1165" s="15" t="s">
        <v>4226</v>
      </c>
      <c r="R1165" s="17" t="s">
        <v>4227</v>
      </c>
      <c r="S1165" s="16" t="s">
        <v>4228</v>
      </c>
      <c r="T1165" s="11"/>
      <c r="U1165" s="10" t="str">
        <f>HYPERLINK("https://pbs.twimg.com/profile_images/523978875491991552/vp8hWsYg.jpeg","View")</f>
        <v>View</v>
      </c>
    </row>
    <row r="1166" spans="1:21" ht="51">
      <c r="A1166" s="6">
        <v>43439.92800925926</v>
      </c>
      <c r="B1166" s="7" t="str">
        <f>HYPERLINK("https://twitter.com/bitMomentum","@bitMomentum")</f>
        <v>@bitMomentum</v>
      </c>
      <c r="C1166" s="8" t="s">
        <v>82</v>
      </c>
      <c r="D1166" s="9" t="s">
        <v>4229</v>
      </c>
      <c r="E1166" s="10" t="str">
        <f>HYPERLINK("https://twitter.com/bitMomentum/status/1070426669939376129","1070426669939376129")</f>
        <v>1070426669939376129</v>
      </c>
      <c r="F1166" s="11"/>
      <c r="G1166" s="16" t="s">
        <v>4230</v>
      </c>
      <c r="H1166" s="11"/>
      <c r="I1166" s="12">
        <v>0</v>
      </c>
      <c r="J1166" s="12">
        <v>0</v>
      </c>
      <c r="K1166" s="13" t="str">
        <f>HYPERLINK("http://www.bitmomentum.com","bitMomentum Bot")</f>
        <v>bitMomentum Bot</v>
      </c>
      <c r="L1166" s="12">
        <v>10253</v>
      </c>
      <c r="M1166" s="12">
        <v>1059</v>
      </c>
      <c r="N1166" s="12">
        <v>263</v>
      </c>
      <c r="O1166" s="14"/>
      <c r="P1166" s="6">
        <v>41608.667511574073</v>
      </c>
      <c r="Q1166" s="11"/>
      <c r="R1166" s="17" t="s">
        <v>84</v>
      </c>
      <c r="S1166" s="16" t="s">
        <v>85</v>
      </c>
      <c r="T1166" s="11"/>
      <c r="U1166" s="10" t="str">
        <f>HYPERLINK("https://pbs.twimg.com/profile_images/378800000862185241/20ij2H3u.png","View")</f>
        <v>View</v>
      </c>
    </row>
    <row r="1167" spans="1:21" ht="51">
      <c r="A1167" s="6">
        <v>43439.92759259259</v>
      </c>
      <c r="B1167" s="7" t="str">
        <f>HYPERLINK("https://twitter.com/sr_woop","@sr_woop")</f>
        <v>@sr_woop</v>
      </c>
      <c r="C1167" s="8" t="s">
        <v>4231</v>
      </c>
      <c r="D1167" s="9" t="s">
        <v>4232</v>
      </c>
      <c r="E1167" s="10" t="str">
        <f>HYPERLINK("https://twitter.com/sr_woop/status/1070426517816127491","1070426517816127491")</f>
        <v>1070426517816127491</v>
      </c>
      <c r="F1167" s="11"/>
      <c r="G1167" s="11"/>
      <c r="H1167" s="11"/>
      <c r="I1167" s="12">
        <v>0</v>
      </c>
      <c r="J1167" s="12">
        <v>0</v>
      </c>
      <c r="K1167" s="13" t="str">
        <f t="shared" ref="K1167:K1168" si="273">HYPERLINK("http://twitter.com/download/android","Twitter for Android")</f>
        <v>Twitter for Android</v>
      </c>
      <c r="L1167" s="12">
        <v>124</v>
      </c>
      <c r="M1167" s="12">
        <v>202</v>
      </c>
      <c r="N1167" s="12">
        <v>0</v>
      </c>
      <c r="O1167" s="14"/>
      <c r="P1167" s="6">
        <v>43293.445659722223</v>
      </c>
      <c r="Q1167" s="15" t="s">
        <v>4233</v>
      </c>
      <c r="R1167" s="17" t="s">
        <v>4234</v>
      </c>
      <c r="S1167" s="11"/>
      <c r="T1167" s="11"/>
      <c r="U1167" s="10" t="str">
        <f>HYPERLINK("https://pbs.twimg.com/profile_images/1017328674167836672/xa3jmsEO.jpg","View")</f>
        <v>View</v>
      </c>
    </row>
    <row r="1168" spans="1:21" ht="51">
      <c r="A1168" s="6">
        <v>43439.927210648151</v>
      </c>
      <c r="B1168" s="7" t="str">
        <f>HYPERLINK("https://twitter.com/_Gafas_y_reloj_","@_Gafas_y_reloj_")</f>
        <v>@_Gafas_y_reloj_</v>
      </c>
      <c r="C1168" s="8" t="s">
        <v>4235</v>
      </c>
      <c r="D1168" s="9" t="s">
        <v>4236</v>
      </c>
      <c r="E1168" s="10" t="str">
        <f>HYPERLINK("https://twitter.com/_Gafas_y_reloj_/status/1070426380066795522","1070426380066795522")</f>
        <v>1070426380066795522</v>
      </c>
      <c r="F1168" s="11"/>
      <c r="G1168" s="11"/>
      <c r="H1168" s="11"/>
      <c r="I1168" s="12">
        <v>4</v>
      </c>
      <c r="J1168" s="12">
        <v>7</v>
      </c>
      <c r="K1168" s="13" t="str">
        <f t="shared" si="273"/>
        <v>Twitter for Android</v>
      </c>
      <c r="L1168" s="12">
        <v>11839</v>
      </c>
      <c r="M1168" s="12">
        <v>718</v>
      </c>
      <c r="N1168" s="12">
        <v>194</v>
      </c>
      <c r="O1168" s="14"/>
      <c r="P1168" s="6">
        <v>40803.430173611108</v>
      </c>
      <c r="Q1168" s="15" t="s">
        <v>4237</v>
      </c>
      <c r="R1168" s="17" t="s">
        <v>4238</v>
      </c>
      <c r="S1168" s="11"/>
      <c r="T1168" s="11"/>
      <c r="U1168" s="10" t="str">
        <f>HYPERLINK("https://pbs.twimg.com/profile_images/923940667965038593/LEd9tLut.jpg","View")</f>
        <v>View</v>
      </c>
    </row>
    <row r="1169" spans="1:21" ht="40.799999999999997">
      <c r="A1169" s="6">
        <v>43439.926342592589</v>
      </c>
      <c r="B1169" s="7" t="str">
        <f>HYPERLINK("https://twitter.com/Acampal","@Acampal")</f>
        <v>@Acampal</v>
      </c>
      <c r="C1169" s="8" t="s">
        <v>4239</v>
      </c>
      <c r="D1169" s="9" t="s">
        <v>4240</v>
      </c>
      <c r="E1169" s="10" t="str">
        <f>HYPERLINK("https://twitter.com/Acampal/status/1070426065896648716","1070426065896648716")</f>
        <v>1070426065896648716</v>
      </c>
      <c r="F1169" s="11"/>
      <c r="G1169" s="11"/>
      <c r="H1169" s="11"/>
      <c r="I1169" s="12">
        <v>0</v>
      </c>
      <c r="J1169" s="12">
        <v>0</v>
      </c>
      <c r="K1169" s="13" t="str">
        <f>HYPERLINK("http://twitter.com/download/iphone","Twitter for iPhone")</f>
        <v>Twitter for iPhone</v>
      </c>
      <c r="L1169" s="12">
        <v>709</v>
      </c>
      <c r="M1169" s="12">
        <v>559</v>
      </c>
      <c r="N1169" s="12">
        <v>10</v>
      </c>
      <c r="O1169" s="14"/>
      <c r="P1169" s="6">
        <v>40604.544988425929</v>
      </c>
      <c r="Q1169" s="15" t="s">
        <v>1992</v>
      </c>
      <c r="R1169" s="17" t="s">
        <v>4241</v>
      </c>
      <c r="S1169" s="11"/>
      <c r="T1169" s="11"/>
      <c r="U1169" s="10" t="str">
        <f>HYPERLINK("https://pbs.twimg.com/profile_images/1040209048346472448/H0Y8gfAB.jpg","View")</f>
        <v>View</v>
      </c>
    </row>
    <row r="1170" spans="1:21" ht="51">
      <c r="A1170" s="6">
        <v>43439.925023148149</v>
      </c>
      <c r="B1170" s="7" t="str">
        <f>HYPERLINK("https://twitter.com/Gaba_Pentina","@Gaba_Pentina")</f>
        <v>@Gaba_Pentina</v>
      </c>
      <c r="C1170" s="8" t="s">
        <v>4242</v>
      </c>
      <c r="D1170" s="9" t="s">
        <v>4243</v>
      </c>
      <c r="E1170" s="10" t="str">
        <f>HYPERLINK("https://twitter.com/Gaba_Pentina/status/1070425588022812672","1070425588022812672")</f>
        <v>1070425588022812672</v>
      </c>
      <c r="F1170" s="15" t="s">
        <v>1001</v>
      </c>
      <c r="G1170" s="16" t="s">
        <v>1002</v>
      </c>
      <c r="H1170" s="11"/>
      <c r="I1170" s="12">
        <v>1</v>
      </c>
      <c r="J1170" s="12">
        <v>2</v>
      </c>
      <c r="K1170" s="13" t="str">
        <f>HYPERLINK("http://twitter.com","Twitter Web Client")</f>
        <v>Twitter Web Client</v>
      </c>
      <c r="L1170" s="12">
        <v>933</v>
      </c>
      <c r="M1170" s="12">
        <v>905</v>
      </c>
      <c r="N1170" s="12">
        <v>0</v>
      </c>
      <c r="O1170" s="14"/>
      <c r="P1170" s="6">
        <v>42931.388344907406</v>
      </c>
      <c r="Q1170" s="15" t="s">
        <v>4244</v>
      </c>
      <c r="R1170" s="17" t="s">
        <v>4245</v>
      </c>
      <c r="S1170" s="11"/>
      <c r="T1170" s="11"/>
      <c r="U1170" s="10" t="str">
        <f>HYPERLINK("https://pbs.twimg.com/profile_images/901349156933046272/i3ie88T8.jpg","View")</f>
        <v>View</v>
      </c>
    </row>
    <row r="1171" spans="1:21" ht="51">
      <c r="A1171" s="6">
        <v>43439.924502314811</v>
      </c>
      <c r="B1171" s="7" t="str">
        <f>HYPERLINK("https://twitter.com/lauraesazul70","@lauraesazul70")</f>
        <v>@lauraesazul70</v>
      </c>
      <c r="C1171" s="8" t="s">
        <v>4246</v>
      </c>
      <c r="D1171" s="9" t="s">
        <v>4247</v>
      </c>
      <c r="E1171" s="10" t="str">
        <f>HYPERLINK("https://twitter.com/lauraesazul70/status/1070425399685984259","1070425399685984259")</f>
        <v>1070425399685984259</v>
      </c>
      <c r="F1171" s="15" t="s">
        <v>4248</v>
      </c>
      <c r="G1171" s="11"/>
      <c r="H1171" s="11"/>
      <c r="I1171" s="12">
        <v>0</v>
      </c>
      <c r="J1171" s="12">
        <v>0</v>
      </c>
      <c r="K1171" s="13" t="str">
        <f t="shared" ref="K1171:K1172" si="274">HYPERLINK("http://twitter.com/download/android","Twitter for Android")</f>
        <v>Twitter for Android</v>
      </c>
      <c r="L1171" s="12">
        <v>181</v>
      </c>
      <c r="M1171" s="12">
        <v>163</v>
      </c>
      <c r="N1171" s="12">
        <v>5</v>
      </c>
      <c r="O1171" s="14"/>
      <c r="P1171" s="6">
        <v>41854.879733796297</v>
      </c>
      <c r="Q1171" s="11"/>
      <c r="R1171" s="17" t="s">
        <v>4249</v>
      </c>
      <c r="S1171" s="11"/>
      <c r="T1171" s="11"/>
      <c r="U1171" s="10" t="str">
        <f>HYPERLINK("https://pbs.twimg.com/profile_images/1070412302506176519/EAkz6J9z.jpg","View")</f>
        <v>View</v>
      </c>
    </row>
    <row r="1172" spans="1:21" ht="51">
      <c r="A1172" s="6">
        <v>43439.922812500001</v>
      </c>
      <c r="B1172" s="7" t="str">
        <f>HYPERLINK("https://twitter.com/vox_es_la_dcha","@vox_es_la_dcha")</f>
        <v>@vox_es_la_dcha</v>
      </c>
      <c r="C1172" s="8" t="s">
        <v>4250</v>
      </c>
      <c r="D1172" s="9" t="s">
        <v>4251</v>
      </c>
      <c r="E1172" s="10" t="str">
        <f>HYPERLINK("https://twitter.com/vox_es_la_dcha/status/1070424789104422912","1070424789104422912")</f>
        <v>1070424789104422912</v>
      </c>
      <c r="F1172" s="11"/>
      <c r="G1172" s="16" t="s">
        <v>4252</v>
      </c>
      <c r="H1172" s="11"/>
      <c r="I1172" s="12">
        <v>0</v>
      </c>
      <c r="J1172" s="12">
        <v>0</v>
      </c>
      <c r="K1172" s="13" t="str">
        <f t="shared" si="274"/>
        <v>Twitter for Android</v>
      </c>
      <c r="L1172" s="12">
        <v>364</v>
      </c>
      <c r="M1172" s="12">
        <v>1495</v>
      </c>
      <c r="N1172" s="12">
        <v>0</v>
      </c>
      <c r="O1172" s="14"/>
      <c r="P1172" s="6">
        <v>43401.611493055556</v>
      </c>
      <c r="Q1172" s="15" t="s">
        <v>1992</v>
      </c>
      <c r="R1172" s="17" t="s">
        <v>4253</v>
      </c>
      <c r="S1172" s="11"/>
      <c r="T1172" s="11"/>
      <c r="U1172" s="10" t="str">
        <f>HYPERLINK("https://pbs.twimg.com/profile_images/1070084772599422976/rHgX55Ok.jpg","View")</f>
        <v>View</v>
      </c>
    </row>
    <row r="1173" spans="1:21" ht="40.799999999999997">
      <c r="A1173" s="6">
        <v>43439.921446759261</v>
      </c>
      <c r="B1173" s="7" t="str">
        <f>HYPERLINK("https://twitter.com/RogelioChamorr6","@RogelioChamorr6")</f>
        <v>@RogelioChamorr6</v>
      </c>
      <c r="C1173" s="8" t="s">
        <v>4254</v>
      </c>
      <c r="D1173" s="9" t="s">
        <v>4255</v>
      </c>
      <c r="E1173" s="10" t="str">
        <f>HYPERLINK("https://twitter.com/RogelioChamorr6/status/1070424292318425094","1070424292318425094")</f>
        <v>1070424292318425094</v>
      </c>
      <c r="F1173" s="11"/>
      <c r="G1173" s="11"/>
      <c r="H1173" s="11"/>
      <c r="I1173" s="12">
        <v>0</v>
      </c>
      <c r="J1173" s="12">
        <v>0</v>
      </c>
      <c r="K1173" s="13" t="str">
        <f>HYPERLINK("http://twitter.com/download/iphone","Twitter for iPhone")</f>
        <v>Twitter for iPhone</v>
      </c>
      <c r="L1173" s="12">
        <v>11</v>
      </c>
      <c r="M1173" s="12">
        <v>44</v>
      </c>
      <c r="N1173" s="12">
        <v>0</v>
      </c>
      <c r="O1173" s="14"/>
      <c r="P1173" s="6">
        <v>43425.001342592594</v>
      </c>
      <c r="Q1173" s="15" t="s">
        <v>312</v>
      </c>
      <c r="R1173" s="17" t="s">
        <v>4256</v>
      </c>
      <c r="S1173" s="11"/>
      <c r="T1173" s="11"/>
      <c r="U1173" s="10" t="str">
        <f>HYPERLINK("https://pbs.twimg.com/profile_images/1065018773504237569/_cHkB4vT.jpg","View")</f>
        <v>View</v>
      </c>
    </row>
    <row r="1174" spans="1:21" ht="40.799999999999997">
      <c r="A1174" s="6">
        <v>43439.920648148152</v>
      </c>
      <c r="B1174" s="7" t="str">
        <f>HYPERLINK("https://twitter.com/Santi_G_F","@Santi_G_F")</f>
        <v>@Santi_G_F</v>
      </c>
      <c r="C1174" s="8" t="s">
        <v>4257</v>
      </c>
      <c r="D1174" s="9" t="s">
        <v>4258</v>
      </c>
      <c r="E1174" s="10" t="str">
        <f>HYPERLINK("https://twitter.com/Santi_G_F/status/1070424003821649921","1070424003821649921")</f>
        <v>1070424003821649921</v>
      </c>
      <c r="F1174" s="16" t="s">
        <v>4259</v>
      </c>
      <c r="G1174" s="11"/>
      <c r="H1174" s="11"/>
      <c r="I1174" s="12">
        <v>0</v>
      </c>
      <c r="J1174" s="12">
        <v>0</v>
      </c>
      <c r="K1174" s="13" t="str">
        <f>HYPERLINK("http://www.facebook.com/twitter","Facebook")</f>
        <v>Facebook</v>
      </c>
      <c r="L1174" s="12">
        <v>191</v>
      </c>
      <c r="M1174" s="12">
        <v>284</v>
      </c>
      <c r="N1174" s="12">
        <v>0</v>
      </c>
      <c r="O1174" s="14"/>
      <c r="P1174" s="6">
        <v>42417.509548611109</v>
      </c>
      <c r="Q1174" s="11"/>
      <c r="R1174" s="17" t="s">
        <v>4260</v>
      </c>
      <c r="S1174" s="11"/>
      <c r="T1174" s="11"/>
      <c r="U1174" s="10" t="str">
        <f>HYPERLINK("https://pbs.twimg.com/profile_images/706241638981636096/FMN7rgKx.jpg","View")</f>
        <v>View</v>
      </c>
    </row>
    <row r="1175" spans="1:21" ht="61.2">
      <c r="A1175" s="6">
        <v>43439.920381944445</v>
      </c>
      <c r="B1175" s="7" t="str">
        <f>HYPERLINK("https://twitter.com/Munttse","@Munttse")</f>
        <v>@Munttse</v>
      </c>
      <c r="C1175" s="8" t="s">
        <v>4261</v>
      </c>
      <c r="D1175" s="9" t="s">
        <v>4262</v>
      </c>
      <c r="E1175" s="10" t="str">
        <f>HYPERLINK("https://twitter.com/Munttse/status/1070423905163243522","1070423905163243522")</f>
        <v>1070423905163243522</v>
      </c>
      <c r="F1175" s="11"/>
      <c r="G1175" s="11"/>
      <c r="H1175" s="11"/>
      <c r="I1175" s="12">
        <v>0</v>
      </c>
      <c r="J1175" s="12">
        <v>0</v>
      </c>
      <c r="K1175" s="13" t="str">
        <f>HYPERLINK("http://twitter.com","Twitter Web Client")</f>
        <v>Twitter Web Client</v>
      </c>
      <c r="L1175" s="12">
        <v>1575</v>
      </c>
      <c r="M1175" s="12">
        <v>1433</v>
      </c>
      <c r="N1175" s="12">
        <v>50</v>
      </c>
      <c r="O1175" s="14"/>
      <c r="P1175" s="6">
        <v>40018.953217592592</v>
      </c>
      <c r="Q1175" s="15" t="s">
        <v>4263</v>
      </c>
      <c r="R1175" s="17" t="s">
        <v>4264</v>
      </c>
      <c r="S1175" s="16" t="s">
        <v>4265</v>
      </c>
      <c r="T1175" s="11"/>
      <c r="U1175" s="10" t="str">
        <f>HYPERLINK("https://pbs.twimg.com/profile_images/506706375020273664/--JbdTrf.jpeg","View")</f>
        <v>View</v>
      </c>
    </row>
    <row r="1176" spans="1:21" ht="51">
      <c r="A1176" s="6">
        <v>43439.91805555555</v>
      </c>
      <c r="B1176" s="7" t="str">
        <f t="shared" ref="B1176:B1177" si="275">HYPERLINK("https://twitter.com/bitMomentum","@bitMomentum")</f>
        <v>@bitMomentum</v>
      </c>
      <c r="C1176" s="8" t="s">
        <v>82</v>
      </c>
      <c r="D1176" s="9" t="s">
        <v>4266</v>
      </c>
      <c r="E1176" s="10" t="str">
        <f>HYPERLINK("https://twitter.com/bitMomentum/status/1070423062133252096","1070423062133252096")</f>
        <v>1070423062133252096</v>
      </c>
      <c r="F1176" s="11"/>
      <c r="G1176" s="11"/>
      <c r="H1176" s="11"/>
      <c r="I1176" s="12">
        <v>0</v>
      </c>
      <c r="J1176" s="12">
        <v>1</v>
      </c>
      <c r="K1176" s="13" t="str">
        <f t="shared" ref="K1176:K1177" si="276">HYPERLINK("http://www.bitmomentum.com","bitMomentum Bot")</f>
        <v>bitMomentum Bot</v>
      </c>
      <c r="L1176" s="12">
        <v>10253</v>
      </c>
      <c r="M1176" s="12">
        <v>1059</v>
      </c>
      <c r="N1176" s="12">
        <v>263</v>
      </c>
      <c r="O1176" s="14"/>
      <c r="P1176" s="6">
        <v>41608.667511574073</v>
      </c>
      <c r="Q1176" s="11"/>
      <c r="R1176" s="17" t="s">
        <v>84</v>
      </c>
      <c r="S1176" s="16" t="s">
        <v>85</v>
      </c>
      <c r="T1176" s="11"/>
      <c r="U1176" s="10" t="str">
        <f t="shared" ref="U1176:U1177" si="277">HYPERLINK("https://pbs.twimg.com/profile_images/378800000862185241/20ij2H3u.png","View")</f>
        <v>View</v>
      </c>
    </row>
    <row r="1177" spans="1:21" ht="51">
      <c r="A1177" s="6">
        <v>43439.917361111111</v>
      </c>
      <c r="B1177" s="7" t="str">
        <f t="shared" si="275"/>
        <v>@bitMomentum</v>
      </c>
      <c r="C1177" s="8" t="s">
        <v>82</v>
      </c>
      <c r="D1177" s="9" t="s">
        <v>4267</v>
      </c>
      <c r="E1177" s="10" t="str">
        <f>HYPERLINK("https://twitter.com/bitMomentum/status/1070422810621829120","1070422810621829120")</f>
        <v>1070422810621829120</v>
      </c>
      <c r="F1177" s="11"/>
      <c r="G1177" s="11"/>
      <c r="H1177" s="11"/>
      <c r="I1177" s="12">
        <v>1</v>
      </c>
      <c r="J1177" s="12">
        <v>1</v>
      </c>
      <c r="K1177" s="13" t="str">
        <f t="shared" si="276"/>
        <v>bitMomentum Bot</v>
      </c>
      <c r="L1177" s="12">
        <v>10253</v>
      </c>
      <c r="M1177" s="12">
        <v>1059</v>
      </c>
      <c r="N1177" s="12">
        <v>263</v>
      </c>
      <c r="O1177" s="14"/>
      <c r="P1177" s="6">
        <v>41608.667511574073</v>
      </c>
      <c r="Q1177" s="11"/>
      <c r="R1177" s="17" t="s">
        <v>84</v>
      </c>
      <c r="S1177" s="16" t="s">
        <v>85</v>
      </c>
      <c r="T1177" s="11"/>
      <c r="U1177" s="10" t="str">
        <f t="shared" si="277"/>
        <v>View</v>
      </c>
    </row>
    <row r="1178" spans="1:21" ht="20.399999999999999">
      <c r="A1178" s="6">
        <v>43439.917349537034</v>
      </c>
      <c r="B1178" s="7" t="str">
        <f>HYPERLINK("https://twitter.com/joseareina","@joseareina")</f>
        <v>@joseareina</v>
      </c>
      <c r="C1178" s="8" t="s">
        <v>4268</v>
      </c>
      <c r="D1178" s="9" t="s">
        <v>4269</v>
      </c>
      <c r="E1178" s="10" t="str">
        <f>HYPERLINK("https://twitter.com/joseareina/status/1070422808407224337","1070422808407224337")</f>
        <v>1070422808407224337</v>
      </c>
      <c r="F1178" s="11"/>
      <c r="G1178" s="16" t="s">
        <v>4270</v>
      </c>
      <c r="H1178" s="11"/>
      <c r="I1178" s="12">
        <v>0</v>
      </c>
      <c r="J1178" s="12">
        <v>1</v>
      </c>
      <c r="K1178" s="13" t="str">
        <f>HYPERLINK("http://twitter.com/download/iphone","Twitter for iPhone")</f>
        <v>Twitter for iPhone</v>
      </c>
      <c r="L1178" s="12">
        <v>480</v>
      </c>
      <c r="M1178" s="12">
        <v>1238</v>
      </c>
      <c r="N1178" s="12">
        <v>17</v>
      </c>
      <c r="O1178" s="14"/>
      <c r="P1178" s="6">
        <v>40315.388136574074</v>
      </c>
      <c r="Q1178" s="15" t="s">
        <v>56</v>
      </c>
      <c r="R1178" s="17" t="s">
        <v>4271</v>
      </c>
      <c r="S1178" s="16" t="s">
        <v>4272</v>
      </c>
      <c r="T1178" s="11"/>
      <c r="U1178" s="10" t="str">
        <f>HYPERLINK("https://pbs.twimg.com/profile_images/753324327710429185/ot1NmoP9.jpg","View")</f>
        <v>View</v>
      </c>
    </row>
    <row r="1179" spans="1:21" ht="71.400000000000006">
      <c r="A1179" s="6">
        <v>43439.917199074072</v>
      </c>
      <c r="B1179" s="7" t="str">
        <f>HYPERLINK("https://twitter.com/ugarteia","@ugarteia")</f>
        <v>@ugarteia</v>
      </c>
      <c r="C1179" s="8" t="s">
        <v>4273</v>
      </c>
      <c r="D1179" s="9" t="s">
        <v>4274</v>
      </c>
      <c r="E1179" s="10" t="str">
        <f>HYPERLINK("https://twitter.com/ugarteia/status/1070422753436676096","1070422753436676096")</f>
        <v>1070422753436676096</v>
      </c>
      <c r="F1179" s="15" t="s">
        <v>4275</v>
      </c>
      <c r="G1179" s="11"/>
      <c r="H1179" s="11"/>
      <c r="I1179" s="12">
        <v>0</v>
      </c>
      <c r="J1179" s="12">
        <v>2</v>
      </c>
      <c r="K1179" s="13" t="str">
        <f>HYPERLINK("http://twitter.com/download/android","Twitter for Android")</f>
        <v>Twitter for Android</v>
      </c>
      <c r="L1179" s="12">
        <v>618</v>
      </c>
      <c r="M1179" s="12">
        <v>604</v>
      </c>
      <c r="N1179" s="12">
        <v>68</v>
      </c>
      <c r="O1179" s="14"/>
      <c r="P1179" s="6">
        <v>39983.026886574073</v>
      </c>
      <c r="Q1179" s="15" t="s">
        <v>612</v>
      </c>
      <c r="R1179" s="17" t="s">
        <v>4276</v>
      </c>
      <c r="S1179" s="16" t="s">
        <v>4277</v>
      </c>
      <c r="T1179" s="11"/>
      <c r="U1179" s="10" t="str">
        <f>HYPERLINK("https://pbs.twimg.com/profile_images/544496716292960257/UTmRElMl.jpeg","View")</f>
        <v>View</v>
      </c>
    </row>
    <row r="1180" spans="1:21" ht="51">
      <c r="A1180" s="6">
        <v>43439.917141203703</v>
      </c>
      <c r="B1180" s="7" t="str">
        <f>HYPERLINK("https://twitter.com/AntonioJoCandel","@AntonioJoCandel")</f>
        <v>@AntonioJoCandel</v>
      </c>
      <c r="C1180" s="8" t="s">
        <v>4278</v>
      </c>
      <c r="D1180" s="9" t="s">
        <v>4279</v>
      </c>
      <c r="E1180" s="10" t="str">
        <f>HYPERLINK("https://twitter.com/AntonioJoCandel/status/1070422730447695872","1070422730447695872")</f>
        <v>1070422730447695872</v>
      </c>
      <c r="F1180" s="16" t="s">
        <v>4280</v>
      </c>
      <c r="G1180" s="16" t="s">
        <v>4281</v>
      </c>
      <c r="H1180" s="11"/>
      <c r="I1180" s="12">
        <v>0</v>
      </c>
      <c r="J1180" s="12">
        <v>0</v>
      </c>
      <c r="K1180" s="13" t="str">
        <f t="shared" ref="K1180:K1181" si="278">HYPERLINK("http://twitter.com/download/iphone","Twitter for iPhone")</f>
        <v>Twitter for iPhone</v>
      </c>
      <c r="L1180" s="12">
        <v>1469</v>
      </c>
      <c r="M1180" s="12">
        <v>562</v>
      </c>
      <c r="N1180" s="12">
        <v>13</v>
      </c>
      <c r="O1180" s="14"/>
      <c r="P1180" s="6">
        <v>40759.539490740739</v>
      </c>
      <c r="Q1180" s="15" t="s">
        <v>185</v>
      </c>
      <c r="R1180" s="17" t="s">
        <v>4282</v>
      </c>
      <c r="S1180" s="16" t="s">
        <v>4283</v>
      </c>
      <c r="T1180" s="11"/>
      <c r="U1180" s="10" t="str">
        <f>HYPERLINK("https://pbs.twimg.com/profile_images/1065371456551481344/ZcBhVD67.jpg","View")</f>
        <v>View</v>
      </c>
    </row>
    <row r="1181" spans="1:21" ht="51">
      <c r="A1181" s="6">
        <v>43439.916354166664</v>
      </c>
      <c r="B1181" s="7" t="str">
        <f>HYPERLINK("https://twitter.com/Jagomel","@Jagomel")</f>
        <v>@Jagomel</v>
      </c>
      <c r="C1181" s="8" t="s">
        <v>4284</v>
      </c>
      <c r="D1181" s="9" t="s">
        <v>4285</v>
      </c>
      <c r="E1181" s="10" t="str">
        <f>HYPERLINK("https://twitter.com/Jagomel/status/1070422447931998208","1070422447931998208")</f>
        <v>1070422447931998208</v>
      </c>
      <c r="F1181" s="11"/>
      <c r="G1181" s="11"/>
      <c r="H1181" s="11"/>
      <c r="I1181" s="12">
        <v>0</v>
      </c>
      <c r="J1181" s="12">
        <v>0</v>
      </c>
      <c r="K1181" s="13" t="str">
        <f t="shared" si="278"/>
        <v>Twitter for iPhone</v>
      </c>
      <c r="L1181" s="12">
        <v>256</v>
      </c>
      <c r="M1181" s="12">
        <v>886</v>
      </c>
      <c r="N1181" s="12">
        <v>4</v>
      </c>
      <c r="O1181" s="14"/>
      <c r="P1181" s="6">
        <v>42369.35864583333</v>
      </c>
      <c r="Q1181" s="11"/>
      <c r="R1181" s="17" t="s">
        <v>4286</v>
      </c>
      <c r="S1181" s="11"/>
      <c r="T1181" s="11"/>
      <c r="U1181" s="10" t="str">
        <f>HYPERLINK("https://pbs.twimg.com/profile_images/1005469192823492608/q4nqw7Ro.jpg","View")</f>
        <v>View</v>
      </c>
    </row>
    <row r="1182" spans="1:21" ht="51">
      <c r="A1182" s="6">
        <v>43439.916331018518</v>
      </c>
      <c r="B1182" s="7" t="str">
        <f>HYPERLINK("https://twitter.com/coldecastro","@coldecastro")</f>
        <v>@coldecastro</v>
      </c>
      <c r="C1182" s="8" t="s">
        <v>4287</v>
      </c>
      <c r="D1182" s="9" t="s">
        <v>4288</v>
      </c>
      <c r="E1182" s="10" t="str">
        <f>HYPERLINK("https://twitter.com/coldecastro/status/1070422439308472340","1070422439308472340")</f>
        <v>1070422439308472340</v>
      </c>
      <c r="F1182" s="11"/>
      <c r="G1182" s="16" t="s">
        <v>4289</v>
      </c>
      <c r="H1182" s="11"/>
      <c r="I1182" s="12">
        <v>19</v>
      </c>
      <c r="J1182" s="12">
        <v>32</v>
      </c>
      <c r="K1182" s="13" t="str">
        <f>HYPERLINK("http://twitter.com/download/android","Twitter for Android")</f>
        <v>Twitter for Android</v>
      </c>
      <c r="L1182" s="12">
        <v>347</v>
      </c>
      <c r="M1182" s="12">
        <v>460</v>
      </c>
      <c r="N1182" s="12">
        <v>12</v>
      </c>
      <c r="O1182" s="14"/>
      <c r="P1182" s="6">
        <v>42407.904687499999</v>
      </c>
      <c r="Q1182" s="15" t="s">
        <v>1048</v>
      </c>
      <c r="R1182" s="17" t="s">
        <v>4290</v>
      </c>
      <c r="S1182" s="11"/>
      <c r="T1182" s="11"/>
      <c r="U1182" s="10" t="str">
        <f>HYPERLINK("https://pbs.twimg.com/profile_images/1014393376324636673/hvd-zlDr.jpg","View")</f>
        <v>View</v>
      </c>
    </row>
    <row r="1183" spans="1:21" ht="40.799999999999997">
      <c r="A1183" s="6">
        <v>43439.916296296295</v>
      </c>
      <c r="B1183" s="7" t="str">
        <f>HYPERLINK("https://twitter.com/EstTartessica","@EstTartessica")</f>
        <v>@EstTartessica</v>
      </c>
      <c r="C1183" s="27" t="s">
        <v>4291</v>
      </c>
      <c r="D1183" s="9" t="s">
        <v>4292</v>
      </c>
      <c r="E1183" s="10" t="str">
        <f>HYPERLINK("https://twitter.com/EstTartessica/status/1070422424863293440","1070422424863293440")</f>
        <v>1070422424863293440</v>
      </c>
      <c r="F1183" s="11"/>
      <c r="G1183" s="16" t="s">
        <v>4293</v>
      </c>
      <c r="H1183" s="11"/>
      <c r="I1183" s="12">
        <v>3</v>
      </c>
      <c r="J1183" s="12">
        <v>2</v>
      </c>
      <c r="K1183" s="13" t="str">
        <f>HYPERLINK("https://mobile.twitter.com","Twitter Lite")</f>
        <v>Twitter Lite</v>
      </c>
      <c r="L1183" s="12">
        <v>297</v>
      </c>
      <c r="M1183" s="12">
        <v>906</v>
      </c>
      <c r="N1183" s="12">
        <v>1</v>
      </c>
      <c r="O1183" s="14"/>
      <c r="P1183" s="6">
        <v>43267.836319444439</v>
      </c>
      <c r="Q1183" s="11"/>
      <c r="R1183" s="17" t="s">
        <v>4294</v>
      </c>
      <c r="S1183" s="11"/>
      <c r="T1183" s="11"/>
      <c r="U1183" s="10" t="str">
        <f>HYPERLINK("https://pbs.twimg.com/profile_images/1069354805750042624/3HNj9_X0.jpg","View")</f>
        <v>View</v>
      </c>
    </row>
    <row r="1184" spans="1:21" ht="20.399999999999999">
      <c r="A1184" s="6">
        <v>43439.915219907409</v>
      </c>
      <c r="B1184" s="7" t="str">
        <f>HYPERLINK("https://twitter.com/veotufuturo","@veotufuturo")</f>
        <v>@veotufuturo</v>
      </c>
      <c r="C1184" s="8" t="s">
        <v>4295</v>
      </c>
      <c r="D1184" s="9" t="s">
        <v>4296</v>
      </c>
      <c r="E1184" s="10" t="str">
        <f>HYPERLINK("https://twitter.com/veotufuturo/status/1070422036906958848","1070422036906958848")</f>
        <v>1070422036906958848</v>
      </c>
      <c r="F1184" s="11"/>
      <c r="G1184" s="11"/>
      <c r="H1184" s="11"/>
      <c r="I1184" s="12">
        <v>0</v>
      </c>
      <c r="J1184" s="12">
        <v>0</v>
      </c>
      <c r="K1184" s="13" t="str">
        <f>HYPERLINK("http://twitter.com/download/android","Twitter for Android")</f>
        <v>Twitter for Android</v>
      </c>
      <c r="L1184" s="12">
        <v>143</v>
      </c>
      <c r="M1184" s="12">
        <v>145</v>
      </c>
      <c r="N1184" s="12">
        <v>0</v>
      </c>
      <c r="O1184" s="14"/>
      <c r="P1184" s="6">
        <v>42966.59475694444</v>
      </c>
      <c r="Q1184" s="15" t="s">
        <v>197</v>
      </c>
      <c r="R1184" s="17" t="s">
        <v>4297</v>
      </c>
      <c r="S1184" s="11"/>
      <c r="T1184" s="11"/>
      <c r="U1184" s="10" t="str">
        <f>HYPERLINK("https://pbs.twimg.com/profile_images/931258476931813376/uGq34qFj.jpg","View")</f>
        <v>View</v>
      </c>
    </row>
    <row r="1185" spans="1:21" ht="102">
      <c r="A1185" s="6">
        <v>43439.914803240739</v>
      </c>
      <c r="B1185" s="7" t="str">
        <f>HYPERLINK("https://twitter.com/Blog3diciembre","@Blog3diciembre")</f>
        <v>@Blog3diciembre</v>
      </c>
      <c r="C1185" s="8" t="s">
        <v>4298</v>
      </c>
      <c r="D1185" s="9" t="s">
        <v>4299</v>
      </c>
      <c r="E1185" s="10" t="str">
        <f>HYPERLINK("https://twitter.com/Blog3diciembre/status/1070421883739353090","1070421883739353090")</f>
        <v>1070421883739353090</v>
      </c>
      <c r="F1185" s="16" t="s">
        <v>2854</v>
      </c>
      <c r="G1185" s="16" t="s">
        <v>2855</v>
      </c>
      <c r="H1185" s="11"/>
      <c r="I1185" s="12">
        <v>0</v>
      </c>
      <c r="J1185" s="12">
        <v>0</v>
      </c>
      <c r="K1185" s="13" t="str">
        <f>HYPERLINK("https://mobile.twitter.com","Twitter Lite")</f>
        <v>Twitter Lite</v>
      </c>
      <c r="L1185" s="12">
        <v>664</v>
      </c>
      <c r="M1185" s="12">
        <v>840</v>
      </c>
      <c r="N1185" s="12">
        <v>5</v>
      </c>
      <c r="O1185" s="14"/>
      <c r="P1185" s="6">
        <v>40663.51840277778</v>
      </c>
      <c r="Q1185" s="15" t="s">
        <v>4300</v>
      </c>
      <c r="R1185" s="17" t="s">
        <v>4301</v>
      </c>
      <c r="S1185" s="16" t="s">
        <v>4302</v>
      </c>
      <c r="T1185" s="11"/>
      <c r="U1185" s="10" t="str">
        <f>HYPERLINK("https://pbs.twimg.com/profile_images/1026074521768484865/e_ixkNIr.jpg","View")</f>
        <v>View</v>
      </c>
    </row>
    <row r="1186" spans="1:21" ht="71.400000000000006">
      <c r="A1186" s="6">
        <v>43439.907199074078</v>
      </c>
      <c r="B1186" s="7" t="str">
        <f>HYPERLINK("https://twitter.com/doguionrego","@doguionrego")</f>
        <v>@doguionrego</v>
      </c>
      <c r="C1186" s="8" t="s">
        <v>194</v>
      </c>
      <c r="D1186" s="9" t="s">
        <v>4303</v>
      </c>
      <c r="E1186" s="10" t="str">
        <f>HYPERLINK("https://twitter.com/doguionrego/status/1070419131197997056","1070419131197997056")</f>
        <v>1070419131197997056</v>
      </c>
      <c r="F1186" s="16" t="s">
        <v>4304</v>
      </c>
      <c r="G1186" s="11"/>
      <c r="H1186" s="11"/>
      <c r="I1186" s="12">
        <v>1</v>
      </c>
      <c r="J1186" s="12">
        <v>1</v>
      </c>
      <c r="K1186" s="13" t="str">
        <f t="shared" ref="K1186:K1187" si="279">HYPERLINK("http://twitter.com/download/android","Twitter for Android")</f>
        <v>Twitter for Android</v>
      </c>
      <c r="L1186" s="12">
        <v>4650</v>
      </c>
      <c r="M1186" s="12">
        <v>4774</v>
      </c>
      <c r="N1186" s="12">
        <v>9</v>
      </c>
      <c r="O1186" s="14"/>
      <c r="P1186" s="6">
        <v>42818.633599537032</v>
      </c>
      <c r="Q1186" s="15" t="s">
        <v>197</v>
      </c>
      <c r="R1186" s="17" t="s">
        <v>198</v>
      </c>
      <c r="S1186" s="11"/>
      <c r="T1186" s="11"/>
      <c r="U1186" s="10" t="str">
        <f>HYPERLINK("https://pbs.twimg.com/profile_images/937615481602789376/OBa7YPsM.jpg","View")</f>
        <v>View</v>
      </c>
    </row>
    <row r="1187" spans="1:21" ht="51">
      <c r="A1187" s="6">
        <v>43439.906747685185</v>
      </c>
      <c r="B1187" s="7" t="str">
        <f>HYPERLINK("https://twitter.com/memeses2","@memeses2")</f>
        <v>@memeses2</v>
      </c>
      <c r="C1187" s="8" t="s">
        <v>2495</v>
      </c>
      <c r="D1187" s="9" t="s">
        <v>4305</v>
      </c>
      <c r="E1187" s="10" t="str">
        <f>HYPERLINK("https://twitter.com/memeses2/status/1070418964440858624","1070418964440858624")</f>
        <v>1070418964440858624</v>
      </c>
      <c r="F1187" s="11"/>
      <c r="G1187" s="11"/>
      <c r="H1187" s="11"/>
      <c r="I1187" s="12">
        <v>1</v>
      </c>
      <c r="J1187" s="12">
        <v>4</v>
      </c>
      <c r="K1187" s="13" t="str">
        <f t="shared" si="279"/>
        <v>Twitter for Android</v>
      </c>
      <c r="L1187" s="12">
        <v>818</v>
      </c>
      <c r="M1187" s="12">
        <v>749</v>
      </c>
      <c r="N1187" s="12">
        <v>1</v>
      </c>
      <c r="O1187" s="14"/>
      <c r="P1187" s="6">
        <v>43413.516655092593</v>
      </c>
      <c r="Q1187" s="15" t="s">
        <v>197</v>
      </c>
      <c r="R1187" s="17" t="s">
        <v>2499</v>
      </c>
      <c r="S1187" s="11"/>
      <c r="T1187" s="11"/>
      <c r="U1187" s="10" t="str">
        <f>HYPERLINK("https://pbs.twimg.com/profile_images/1060857415640539136/cZbEgTAv.jpg","View")</f>
        <v>View</v>
      </c>
    </row>
    <row r="1188" spans="1:21" ht="51">
      <c r="A1188" s="6">
        <v>43439.905347222222</v>
      </c>
      <c r="B1188" s="7" t="str">
        <f>HYPERLINK("https://twitter.com/DrEuuge","@DrEuuge")</f>
        <v>@DrEuuge</v>
      </c>
      <c r="C1188" s="8" t="s">
        <v>4306</v>
      </c>
      <c r="D1188" s="9" t="s">
        <v>4307</v>
      </c>
      <c r="E1188" s="10" t="str">
        <f>HYPERLINK("https://twitter.com/DrEuuge/status/1070418456548388869","1070418456548388869")</f>
        <v>1070418456548388869</v>
      </c>
      <c r="F1188" s="15" t="s">
        <v>1001</v>
      </c>
      <c r="G1188" s="16" t="s">
        <v>1002</v>
      </c>
      <c r="H1188" s="11"/>
      <c r="I1188" s="12">
        <v>0</v>
      </c>
      <c r="J1188" s="12">
        <v>1</v>
      </c>
      <c r="K1188" s="13" t="str">
        <f>HYPERLINK("http://twitter.com/download/iphone","Twitter for iPhone")</f>
        <v>Twitter for iPhone</v>
      </c>
      <c r="L1188" s="12">
        <v>882</v>
      </c>
      <c r="M1188" s="12">
        <v>511</v>
      </c>
      <c r="N1188" s="12">
        <v>47</v>
      </c>
      <c r="O1188" s="14"/>
      <c r="P1188" s="6">
        <v>40844.856111111112</v>
      </c>
      <c r="Q1188" s="15" t="s">
        <v>4308</v>
      </c>
      <c r="R1188" s="17" t="s">
        <v>4309</v>
      </c>
      <c r="S1188" s="16" t="s">
        <v>4310</v>
      </c>
      <c r="T1188" s="11"/>
      <c r="U1188" s="10" t="str">
        <f>HYPERLINK("https://pbs.twimg.com/profile_images/985258673923555329/HmaezMVS.jpg","View")</f>
        <v>View</v>
      </c>
    </row>
    <row r="1189" spans="1:21" ht="51">
      <c r="A1189" s="6">
        <v>43439.90457175926</v>
      </c>
      <c r="B1189" s="7" t="str">
        <f>HYPERLINK("https://twitter.com/psolidaridad","@psolidaridad")</f>
        <v>@psolidaridad</v>
      </c>
      <c r="C1189" s="8" t="s">
        <v>159</v>
      </c>
      <c r="D1189" s="9" t="s">
        <v>4311</v>
      </c>
      <c r="E1189" s="10" t="str">
        <f>HYPERLINK("https://twitter.com/psolidaridad/status/1070418175420981248","1070418175420981248")</f>
        <v>1070418175420981248</v>
      </c>
      <c r="F1189" s="16" t="s">
        <v>4312</v>
      </c>
      <c r="G1189" s="11"/>
      <c r="H1189" s="11"/>
      <c r="I1189" s="12">
        <v>2</v>
      </c>
      <c r="J1189" s="12">
        <v>1</v>
      </c>
      <c r="K1189" s="13" t="str">
        <f t="shared" ref="K1189:K1192" si="280">HYPERLINK("http://twitter.com/download/android","Twitter for Android")</f>
        <v>Twitter for Android</v>
      </c>
      <c r="L1189" s="12">
        <v>1623</v>
      </c>
      <c r="M1189" s="12">
        <v>4841</v>
      </c>
      <c r="N1189" s="12">
        <v>1</v>
      </c>
      <c r="O1189" s="14"/>
      <c r="P1189" s="6">
        <v>41803.502372685187</v>
      </c>
      <c r="Q1189" s="11"/>
      <c r="R1189" s="17" t="s">
        <v>162</v>
      </c>
      <c r="S1189" s="11"/>
      <c r="T1189" s="11"/>
      <c r="U1189" s="10" t="str">
        <f>HYPERLINK("https://pbs.twimg.com/profile_images/1030394358397317120/oQ0F2vnz.jpg","View")</f>
        <v>View</v>
      </c>
    </row>
    <row r="1190" spans="1:21" ht="40.799999999999997">
      <c r="A1190" s="6">
        <v>43439.903749999998</v>
      </c>
      <c r="B1190" s="7" t="str">
        <f>HYPERLINK("https://twitter.com/vox_es","@vox_es")</f>
        <v>@vox_es</v>
      </c>
      <c r="C1190" s="8" t="s">
        <v>3230</v>
      </c>
      <c r="D1190" s="9" t="s">
        <v>4313</v>
      </c>
      <c r="E1190" s="10" t="str">
        <f>HYPERLINK("https://twitter.com/vox_es/status/1070417878074175499","1070417878074175499")</f>
        <v>1070417878074175499</v>
      </c>
      <c r="F1190" s="16" t="s">
        <v>4314</v>
      </c>
      <c r="G1190" s="11"/>
      <c r="H1190" s="11"/>
      <c r="I1190" s="12">
        <v>1515</v>
      </c>
      <c r="J1190" s="12">
        <v>3535</v>
      </c>
      <c r="K1190" s="13" t="str">
        <f t="shared" si="280"/>
        <v>Twitter for Android</v>
      </c>
      <c r="L1190" s="12">
        <v>147920</v>
      </c>
      <c r="M1190" s="12">
        <v>937</v>
      </c>
      <c r="N1190" s="12">
        <v>988</v>
      </c>
      <c r="O1190" s="23" t="s">
        <v>89</v>
      </c>
      <c r="P1190" s="6">
        <v>41596.746655092589</v>
      </c>
      <c r="Q1190" s="11"/>
      <c r="R1190" s="17" t="s">
        <v>3232</v>
      </c>
      <c r="S1190" s="16" t="s">
        <v>1740</v>
      </c>
      <c r="T1190" s="11"/>
      <c r="U1190" s="10" t="str">
        <f>HYPERLINK("https://pbs.twimg.com/profile_images/1016653788617363456/m3b3jqW5.jpg","View")</f>
        <v>View</v>
      </c>
    </row>
    <row r="1191" spans="1:21" ht="51">
      <c r="A1191" s="6">
        <v>43439.903541666667</v>
      </c>
      <c r="B1191" s="7" t="str">
        <f>HYPERLINK("https://twitter.com/Casimiro_Ig","@Casimiro_Ig")</f>
        <v>@Casimiro_Ig</v>
      </c>
      <c r="C1191" s="8" t="s">
        <v>4315</v>
      </c>
      <c r="D1191" s="9" t="s">
        <v>4316</v>
      </c>
      <c r="E1191" s="10" t="str">
        <f>HYPERLINK("https://twitter.com/Casimiro_Ig/status/1070417805533736965","1070417805533736965")</f>
        <v>1070417805533736965</v>
      </c>
      <c r="F1191" s="16" t="s">
        <v>4317</v>
      </c>
      <c r="G1191" s="11"/>
      <c r="H1191" s="11"/>
      <c r="I1191" s="12">
        <v>0</v>
      </c>
      <c r="J1191" s="12">
        <v>2</v>
      </c>
      <c r="K1191" s="13" t="str">
        <f t="shared" si="280"/>
        <v>Twitter for Android</v>
      </c>
      <c r="L1191" s="12">
        <v>48</v>
      </c>
      <c r="M1191" s="12">
        <v>255</v>
      </c>
      <c r="N1191" s="12">
        <v>0</v>
      </c>
      <c r="O1191" s="14"/>
      <c r="P1191" s="6">
        <v>41415.061249999999</v>
      </c>
      <c r="Q1191" s="15" t="s">
        <v>197</v>
      </c>
      <c r="R1191" s="17" t="s">
        <v>4318</v>
      </c>
      <c r="S1191" s="11"/>
      <c r="T1191" s="11"/>
      <c r="U1191" s="10" t="str">
        <f>HYPERLINK("https://pbs.twimg.com/profile_images/997198088103079936/4fZGoq3D.jpg","View")</f>
        <v>View</v>
      </c>
    </row>
    <row r="1192" spans="1:21" ht="30.6">
      <c r="A1192" s="6">
        <v>43439.903182870374</v>
      </c>
      <c r="B1192" s="7" t="str">
        <f>HYPERLINK("https://twitter.com/CarreteroBruno","@CarreteroBruno")</f>
        <v>@CarreteroBruno</v>
      </c>
      <c r="C1192" s="8" t="s">
        <v>4319</v>
      </c>
      <c r="D1192" s="9" t="s">
        <v>4320</v>
      </c>
      <c r="E1192" s="10" t="str">
        <f>HYPERLINK("https://twitter.com/CarreteroBruno/status/1070417672884682752","1070417672884682752")</f>
        <v>1070417672884682752</v>
      </c>
      <c r="F1192" s="11"/>
      <c r="G1192" s="16" t="s">
        <v>4321</v>
      </c>
      <c r="H1192" s="11"/>
      <c r="I1192" s="12">
        <v>0</v>
      </c>
      <c r="J1192" s="12">
        <v>1</v>
      </c>
      <c r="K1192" s="13" t="str">
        <f t="shared" si="280"/>
        <v>Twitter for Android</v>
      </c>
      <c r="L1192" s="12">
        <v>183</v>
      </c>
      <c r="M1192" s="12">
        <v>631</v>
      </c>
      <c r="N1192" s="12">
        <v>12</v>
      </c>
      <c r="O1192" s="14"/>
      <c r="P1192" s="6">
        <v>41945.405381944445</v>
      </c>
      <c r="Q1192" s="28" t="s">
        <v>4322</v>
      </c>
      <c r="R1192" s="17" t="s">
        <v>4323</v>
      </c>
      <c r="S1192" s="11"/>
      <c r="T1192" s="11"/>
      <c r="U1192" s="10" t="str">
        <f>HYPERLINK("https://pbs.twimg.com/profile_images/1023983059719385088/mBEzF_uJ.jpg","View")</f>
        <v>View</v>
      </c>
    </row>
    <row r="1193" spans="1:21" ht="40.799999999999997">
      <c r="A1193" s="6">
        <v>43439.899375000001</v>
      </c>
      <c r="B1193" s="7" t="str">
        <f>HYPERLINK("https://twitter.com/lextresabogados","@lextresabogados")</f>
        <v>@lextresabogados</v>
      </c>
      <c r="C1193" s="8" t="s">
        <v>672</v>
      </c>
      <c r="D1193" s="9" t="s">
        <v>4324</v>
      </c>
      <c r="E1193" s="10" t="str">
        <f>HYPERLINK("https://twitter.com/lextresabogados/status/1070416295835914241","1070416295835914241")</f>
        <v>1070416295835914241</v>
      </c>
      <c r="F1193" s="16" t="s">
        <v>4325</v>
      </c>
      <c r="G1193" s="11"/>
      <c r="H1193" s="11"/>
      <c r="I1193" s="12">
        <v>0</v>
      </c>
      <c r="J1193" s="12">
        <v>0</v>
      </c>
      <c r="K1193" s="13" t="str">
        <f>HYPERLINK("http://35.180.36.179","botize nueva")</f>
        <v>botize nueva</v>
      </c>
      <c r="L1193" s="12">
        <v>2912</v>
      </c>
      <c r="M1193" s="12">
        <v>3525</v>
      </c>
      <c r="N1193" s="12">
        <v>26</v>
      </c>
      <c r="O1193" s="14"/>
      <c r="P1193" s="6">
        <v>42880.770949074074</v>
      </c>
      <c r="Q1193" s="15" t="s">
        <v>676</v>
      </c>
      <c r="R1193" s="17" t="s">
        <v>677</v>
      </c>
      <c r="S1193" s="16" t="s">
        <v>678</v>
      </c>
      <c r="T1193" s="11"/>
      <c r="U1193" s="10" t="str">
        <f>HYPERLINK("https://pbs.twimg.com/profile_images/1068056978679898113/YnjKwiVy.jpg","View")</f>
        <v>View</v>
      </c>
    </row>
    <row r="1194" spans="1:21" ht="20.399999999999999">
      <c r="A1194" s="6">
        <v>43439.899201388893</v>
      </c>
      <c r="B1194" s="7" t="str">
        <f>HYPERLINK("https://twitter.com/baila1956","@baila1956")</f>
        <v>@baila1956</v>
      </c>
      <c r="C1194" s="8" t="s">
        <v>4326</v>
      </c>
      <c r="D1194" s="9" t="s">
        <v>4327</v>
      </c>
      <c r="E1194" s="10" t="str">
        <f>HYPERLINK("https://twitter.com/baila1956/status/1070416229901447180","1070416229901447180")</f>
        <v>1070416229901447180</v>
      </c>
      <c r="F1194" s="11"/>
      <c r="G1194" s="16" t="s">
        <v>4328</v>
      </c>
      <c r="H1194" s="11"/>
      <c r="I1194" s="12">
        <v>0</v>
      </c>
      <c r="J1194" s="12">
        <v>0</v>
      </c>
      <c r="K1194" s="13" t="str">
        <f t="shared" ref="K1194:K1196" si="281">HYPERLINK("http://twitter.com/download/android","Twitter for Android")</f>
        <v>Twitter for Android</v>
      </c>
      <c r="L1194" s="12">
        <v>327</v>
      </c>
      <c r="M1194" s="12">
        <v>348</v>
      </c>
      <c r="N1194" s="12">
        <v>4</v>
      </c>
      <c r="O1194" s="14"/>
      <c r="P1194" s="6">
        <v>41655.600659722222</v>
      </c>
      <c r="Q1194" s="11"/>
      <c r="R1194" s="17" t="s">
        <v>4329</v>
      </c>
      <c r="S1194" s="11"/>
      <c r="T1194" s="11"/>
      <c r="U1194" s="10" t="str">
        <f>HYPERLINK("https://pbs.twimg.com/profile_images/1069961410925469698/1CHZ5AIF.jpg","View")</f>
        <v>View</v>
      </c>
    </row>
    <row r="1195" spans="1:21" ht="40.799999999999997">
      <c r="A1195" s="6">
        <v>43439.898587962962</v>
      </c>
      <c r="B1195" s="7" t="str">
        <f>HYPERLINK("https://twitter.com/alprimertoque11","@alprimertoque11")</f>
        <v>@alprimertoque11</v>
      </c>
      <c r="C1195" s="8" t="s">
        <v>4330</v>
      </c>
      <c r="D1195" s="9" t="s">
        <v>4331</v>
      </c>
      <c r="E1195" s="10" t="str">
        <f>HYPERLINK("https://twitter.com/alprimertoque11/status/1070416008442200064","1070416008442200064")</f>
        <v>1070416008442200064</v>
      </c>
      <c r="F1195" s="11"/>
      <c r="G1195" s="11"/>
      <c r="H1195" s="11"/>
      <c r="I1195" s="12">
        <v>1</v>
      </c>
      <c r="J1195" s="12">
        <v>1</v>
      </c>
      <c r="K1195" s="13" t="str">
        <f t="shared" si="281"/>
        <v>Twitter for Android</v>
      </c>
      <c r="L1195" s="12">
        <v>91</v>
      </c>
      <c r="M1195" s="12">
        <v>402</v>
      </c>
      <c r="N1195" s="12">
        <v>1</v>
      </c>
      <c r="O1195" s="14"/>
      <c r="P1195" s="6">
        <v>43404.828993055555</v>
      </c>
      <c r="Q1195" s="11"/>
      <c r="R1195" s="17" t="s">
        <v>4332</v>
      </c>
      <c r="S1195" s="11"/>
      <c r="T1195" s="11"/>
      <c r="U1195" s="10" t="str">
        <f>HYPERLINK("https://pbs.twimg.com/profile_images/1058657910761422848/NXoJ2jBi.jpg","View")</f>
        <v>View</v>
      </c>
    </row>
    <row r="1196" spans="1:21" ht="61.2">
      <c r="A1196" s="6">
        <v>43439.898240740746</v>
      </c>
      <c r="B1196" s="7" t="str">
        <f>HYPERLINK("https://twitter.com/asalasfc","@asalasfc")</f>
        <v>@asalasfc</v>
      </c>
      <c r="C1196" s="8" t="s">
        <v>4333</v>
      </c>
      <c r="D1196" s="9" t="s">
        <v>4334</v>
      </c>
      <c r="E1196" s="10" t="str">
        <f>HYPERLINK("https://twitter.com/asalasfc/status/1070415884429258753","1070415884429258753")</f>
        <v>1070415884429258753</v>
      </c>
      <c r="F1196" s="16" t="s">
        <v>4335</v>
      </c>
      <c r="G1196" s="16" t="s">
        <v>4336</v>
      </c>
      <c r="H1196" s="11"/>
      <c r="I1196" s="12">
        <v>0</v>
      </c>
      <c r="J1196" s="12">
        <v>0</v>
      </c>
      <c r="K1196" s="13" t="str">
        <f t="shared" si="281"/>
        <v>Twitter for Android</v>
      </c>
      <c r="L1196" s="12">
        <v>220</v>
      </c>
      <c r="M1196" s="12">
        <v>103</v>
      </c>
      <c r="N1196" s="12">
        <v>2</v>
      </c>
      <c r="O1196" s="14"/>
      <c r="P1196" s="6">
        <v>40905.625173611115</v>
      </c>
      <c r="Q1196" s="15" t="s">
        <v>56</v>
      </c>
      <c r="R1196" s="17" t="s">
        <v>4337</v>
      </c>
      <c r="S1196" s="11"/>
      <c r="T1196" s="11"/>
      <c r="U1196" s="10" t="str">
        <f>HYPERLINK("https://pbs.twimg.com/profile_images/950857172304490501/M_cU4zdT.jpg","View")</f>
        <v>View</v>
      </c>
    </row>
    <row r="1197" spans="1:21" ht="30.6">
      <c r="A1197" s="6">
        <v>43439.897743055553</v>
      </c>
      <c r="B1197" s="7" t="str">
        <f>HYPERLINK("https://twitter.com/carloseliseoms","@carloseliseoms")</f>
        <v>@carloseliseoms</v>
      </c>
      <c r="C1197" s="8" t="s">
        <v>4338</v>
      </c>
      <c r="D1197" s="9" t="s">
        <v>4339</v>
      </c>
      <c r="E1197" s="10" t="str">
        <f>HYPERLINK("https://twitter.com/carloseliseoms/status/1070415702564188162","1070415702564188162")</f>
        <v>1070415702564188162</v>
      </c>
      <c r="F1197" s="11"/>
      <c r="G1197" s="11"/>
      <c r="H1197" s="11"/>
      <c r="I1197" s="12">
        <v>0</v>
      </c>
      <c r="J1197" s="12">
        <v>0</v>
      </c>
      <c r="K1197" s="13" t="str">
        <f>HYPERLINK("http://twitter.com/download/iphone","Twitter for iPhone")</f>
        <v>Twitter for iPhone</v>
      </c>
      <c r="L1197" s="12">
        <v>270</v>
      </c>
      <c r="M1197" s="12">
        <v>211</v>
      </c>
      <c r="N1197" s="12">
        <v>3</v>
      </c>
      <c r="O1197" s="14"/>
      <c r="P1197" s="6">
        <v>41181.059745370367</v>
      </c>
      <c r="Q1197" s="15" t="s">
        <v>4340</v>
      </c>
      <c r="R1197" s="17" t="s">
        <v>4341</v>
      </c>
      <c r="S1197" s="11"/>
      <c r="T1197" s="11"/>
      <c r="U1197" s="10" t="str">
        <f>HYPERLINK("https://pbs.twimg.com/profile_images/753621017562603520/FJ_VLppI.jpg","View")</f>
        <v>View</v>
      </c>
    </row>
    <row r="1198" spans="1:21" ht="71.400000000000006">
      <c r="A1198" s="6">
        <v>43439.896956018521</v>
      </c>
      <c r="B1198" s="7" t="str">
        <f>HYPERLINK("https://twitter.com/SiempreDerecha7","@SiempreDerecha7")</f>
        <v>@SiempreDerecha7</v>
      </c>
      <c r="C1198" s="8" t="s">
        <v>40</v>
      </c>
      <c r="D1198" s="9" t="s">
        <v>4342</v>
      </c>
      <c r="E1198" s="10" t="str">
        <f>HYPERLINK("https://twitter.com/SiempreDerecha7/status/1070415417259290624","1070415417259290624")</f>
        <v>1070415417259290624</v>
      </c>
      <c r="F1198" s="16" t="s">
        <v>4207</v>
      </c>
      <c r="G1198" s="16" t="s">
        <v>4208</v>
      </c>
      <c r="H1198" s="11"/>
      <c r="I1198" s="12">
        <v>1</v>
      </c>
      <c r="J1198" s="12">
        <v>0</v>
      </c>
      <c r="K1198" s="13" t="str">
        <f>HYPERLINK("http://twitter.com","Twitter Web Client")</f>
        <v>Twitter Web Client</v>
      </c>
      <c r="L1198" s="12">
        <v>2823</v>
      </c>
      <c r="M1198" s="12">
        <v>3141</v>
      </c>
      <c r="N1198" s="12">
        <v>2</v>
      </c>
      <c r="O1198" s="14"/>
      <c r="P1198" s="6">
        <v>42195.973460648151</v>
      </c>
      <c r="Q1198" s="15" t="s">
        <v>44</v>
      </c>
      <c r="R1198" s="17" t="s">
        <v>45</v>
      </c>
      <c r="S1198" s="16" t="s">
        <v>46</v>
      </c>
      <c r="T1198" s="11"/>
      <c r="U1198" s="10" t="str">
        <f>HYPERLINK("https://pbs.twimg.com/profile_images/1051506107255009280/ZIOe8sqh.jpg","View")</f>
        <v>View</v>
      </c>
    </row>
    <row r="1199" spans="1:21" ht="30.6">
      <c r="A1199" s="6">
        <v>43439.896504629629</v>
      </c>
      <c r="B1199" s="7" t="str">
        <f>HYPERLINK("https://twitter.com/lavozdegalicia","@lavozdegalicia")</f>
        <v>@lavozdegalicia</v>
      </c>
      <c r="C1199" s="8" t="s">
        <v>4343</v>
      </c>
      <c r="D1199" s="9" t="s">
        <v>4344</v>
      </c>
      <c r="E1199" s="10" t="str">
        <f>HYPERLINK("https://twitter.com/lavozdegalicia/status/1070415252846727168","1070415252846727168")</f>
        <v>1070415252846727168</v>
      </c>
      <c r="F1199" s="16" t="s">
        <v>4325</v>
      </c>
      <c r="G1199" s="11"/>
      <c r="H1199" s="11"/>
      <c r="I1199" s="12">
        <v>7</v>
      </c>
      <c r="J1199" s="12">
        <v>16</v>
      </c>
      <c r="K1199" s="13" t="str">
        <f>HYPERLINK("http://dogtrack.es","DogTrack_Oficial")</f>
        <v>DogTrack_Oficial</v>
      </c>
      <c r="L1199" s="12">
        <v>354578</v>
      </c>
      <c r="M1199" s="12">
        <v>165</v>
      </c>
      <c r="N1199" s="12">
        <v>3394</v>
      </c>
      <c r="O1199" s="23" t="s">
        <v>89</v>
      </c>
      <c r="P1199" s="6">
        <v>39941.517291666663</v>
      </c>
      <c r="Q1199" s="15" t="s">
        <v>4345</v>
      </c>
      <c r="R1199" s="17" t="s">
        <v>4346</v>
      </c>
      <c r="S1199" s="16" t="s">
        <v>4347</v>
      </c>
      <c r="T1199" s="11"/>
      <c r="U1199" s="10" t="str">
        <f>HYPERLINK("https://pbs.twimg.com/profile_images/826477228670201856/5qBZ2KTh.jpg","View")</f>
        <v>View</v>
      </c>
    </row>
    <row r="1200" spans="1:21" ht="40.799999999999997">
      <c r="A1200" s="6">
        <v>43439.896412037036</v>
      </c>
      <c r="B1200" s="7" t="str">
        <f>HYPERLINK("https://twitter.com/diazzlope","@diazzlope")</f>
        <v>@diazzlope</v>
      </c>
      <c r="C1200" s="8" t="s">
        <v>4348</v>
      </c>
      <c r="D1200" s="9" t="s">
        <v>4349</v>
      </c>
      <c r="E1200" s="10" t="str">
        <f>HYPERLINK("https://twitter.com/diazzlope/status/1070415219367788544","1070415219367788544")</f>
        <v>1070415219367788544</v>
      </c>
      <c r="F1200" s="11"/>
      <c r="G1200" s="11"/>
      <c r="H1200" s="11"/>
      <c r="I1200" s="12">
        <v>0</v>
      </c>
      <c r="J1200" s="12">
        <v>0</v>
      </c>
      <c r="K1200" s="13" t="str">
        <f t="shared" ref="K1200:K1201" si="282">HYPERLINK("http://twitter.com/download/android","Twitter for Android")</f>
        <v>Twitter for Android</v>
      </c>
      <c r="L1200" s="12">
        <v>17</v>
      </c>
      <c r="M1200" s="12">
        <v>27</v>
      </c>
      <c r="N1200" s="12">
        <v>0</v>
      </c>
      <c r="O1200" s="14"/>
      <c r="P1200" s="6">
        <v>41846.044606481482</v>
      </c>
      <c r="Q1200" s="15" t="s">
        <v>4300</v>
      </c>
      <c r="R1200" s="17" t="s">
        <v>4350</v>
      </c>
      <c r="S1200" s="11"/>
      <c r="T1200" s="11"/>
      <c r="U1200" s="10" t="str">
        <f>HYPERLINK("https://pbs.twimg.com/profile_images/1071118008741961733/0Gujw5-d.jpg","View")</f>
        <v>View</v>
      </c>
    </row>
    <row r="1201" spans="1:21" ht="40.799999999999997">
      <c r="A1201" s="6">
        <v>43439.895844907413</v>
      </c>
      <c r="B1201" s="7" t="str">
        <f>HYPERLINK("https://twitter.com/mrpinguino_","@mrpinguino_")</f>
        <v>@mrpinguino_</v>
      </c>
      <c r="C1201" s="8" t="s">
        <v>4351</v>
      </c>
      <c r="D1201" s="9" t="s">
        <v>4352</v>
      </c>
      <c r="E1201" s="10" t="str">
        <f>HYPERLINK("https://twitter.com/mrpinguino_/status/1070415012731203584","1070415012731203584")</f>
        <v>1070415012731203584</v>
      </c>
      <c r="F1201" s="16" t="s">
        <v>4353</v>
      </c>
      <c r="G1201" s="16" t="s">
        <v>4354</v>
      </c>
      <c r="H1201" s="11"/>
      <c r="I1201" s="12">
        <v>0</v>
      </c>
      <c r="J1201" s="12">
        <v>1</v>
      </c>
      <c r="K1201" s="13" t="str">
        <f t="shared" si="282"/>
        <v>Twitter for Android</v>
      </c>
      <c r="L1201" s="12">
        <v>41</v>
      </c>
      <c r="M1201" s="12">
        <v>95</v>
      </c>
      <c r="N1201" s="12">
        <v>1</v>
      </c>
      <c r="O1201" s="14"/>
      <c r="P1201" s="6">
        <v>43281.393912037034</v>
      </c>
      <c r="Q1201" s="15" t="s">
        <v>4355</v>
      </c>
      <c r="R1201" s="17" t="s">
        <v>4356</v>
      </c>
      <c r="S1201" s="11"/>
      <c r="T1201" s="11"/>
      <c r="U1201" s="10" t="str">
        <f>HYPERLINK("https://pbs.twimg.com/profile_images/1063371576685531136/5IgORo0U.jpg","View")</f>
        <v>View</v>
      </c>
    </row>
    <row r="1202" spans="1:21" ht="51">
      <c r="A1202" s="6">
        <v>43439.895266203705</v>
      </c>
      <c r="B1202" s="7" t="str">
        <f>HYPERLINK("https://twitter.com/SpainTheWorld","@SpainTheWorld")</f>
        <v>@SpainTheWorld</v>
      </c>
      <c r="C1202" s="8" t="s">
        <v>4357</v>
      </c>
      <c r="D1202" s="9" t="s">
        <v>4358</v>
      </c>
      <c r="E1202" s="10" t="str">
        <f>HYPERLINK("https://twitter.com/SpainTheWorld/status/1070414802957283342","1070414802957283342")</f>
        <v>1070414802957283342</v>
      </c>
      <c r="F1202" s="11"/>
      <c r="G1202" s="16" t="s">
        <v>4359</v>
      </c>
      <c r="H1202" s="11"/>
      <c r="I1202" s="12">
        <v>2</v>
      </c>
      <c r="J1202" s="12">
        <v>0</v>
      </c>
      <c r="K1202" s="13" t="str">
        <f>HYPERLINK("http://twitter.com/download/iphone","Twitter for iPhone")</f>
        <v>Twitter for iPhone</v>
      </c>
      <c r="L1202" s="12">
        <v>7</v>
      </c>
      <c r="M1202" s="12">
        <v>20</v>
      </c>
      <c r="N1202" s="12">
        <v>0</v>
      </c>
      <c r="O1202" s="14"/>
      <c r="P1202" s="6">
        <v>43439.411979166667</v>
      </c>
      <c r="Q1202" s="15" t="s">
        <v>197</v>
      </c>
      <c r="R1202" s="17" t="s">
        <v>4360</v>
      </c>
      <c r="S1202" s="11"/>
      <c r="T1202" s="11"/>
      <c r="U1202" s="10" t="str">
        <f>HYPERLINK("https://pbs.twimg.com/profile_images/1070245144614629377/VgHE0GYg.jpg","View")</f>
        <v>View</v>
      </c>
    </row>
    <row r="1203" spans="1:21" ht="40.799999999999997">
      <c r="A1203" s="6">
        <v>43439.895208333328</v>
      </c>
      <c r="B1203" s="7" t="str">
        <f>HYPERLINK("https://twitter.com/mimendalirenda","@mimendalirenda")</f>
        <v>@mimendalirenda</v>
      </c>
      <c r="C1203" s="8" t="s">
        <v>4361</v>
      </c>
      <c r="D1203" s="9" t="s">
        <v>4362</v>
      </c>
      <c r="E1203" s="10" t="str">
        <f>HYPERLINK("https://twitter.com/mimendalirenda/status/1070414785097936905","1070414785097936905")</f>
        <v>1070414785097936905</v>
      </c>
      <c r="F1203" s="11"/>
      <c r="G1203" s="11"/>
      <c r="H1203" s="11"/>
      <c r="I1203" s="12">
        <v>0</v>
      </c>
      <c r="J1203" s="12">
        <v>1</v>
      </c>
      <c r="K1203" s="13" t="str">
        <f>HYPERLINK("http://twitter.com/download/android","Twitter for Android")</f>
        <v>Twitter for Android</v>
      </c>
      <c r="L1203" s="12">
        <v>505</v>
      </c>
      <c r="M1203" s="12">
        <v>724</v>
      </c>
      <c r="N1203" s="12">
        <v>3</v>
      </c>
      <c r="O1203" s="14"/>
      <c r="P1203" s="6">
        <v>42844.415104166663</v>
      </c>
      <c r="Q1203" s="11"/>
      <c r="R1203" s="17" t="s">
        <v>4363</v>
      </c>
      <c r="S1203" s="11"/>
      <c r="T1203" s="11"/>
      <c r="U1203" s="10" t="str">
        <f>HYPERLINK("https://pbs.twimg.com/profile_images/1070953555337666560/-NslTOkn.jpg","View")</f>
        <v>View</v>
      </c>
    </row>
    <row r="1204" spans="1:21" ht="20.399999999999999">
      <c r="A1204" s="6">
        <v>43439.894560185188</v>
      </c>
      <c r="B1204" s="7" t="str">
        <f>HYPERLINK("https://twitter.com/maikk13","@maikk13")</f>
        <v>@maikk13</v>
      </c>
      <c r="C1204" s="8" t="s">
        <v>4364</v>
      </c>
      <c r="D1204" s="9" t="s">
        <v>4365</v>
      </c>
      <c r="E1204" s="10" t="str">
        <f>HYPERLINK("https://twitter.com/maikk13/status/1070414547222192128","1070414547222192128")</f>
        <v>1070414547222192128</v>
      </c>
      <c r="F1204" s="11"/>
      <c r="G1204" s="11"/>
      <c r="H1204" s="11"/>
      <c r="I1204" s="12">
        <v>0</v>
      </c>
      <c r="J1204" s="12">
        <v>2</v>
      </c>
      <c r="K1204" s="13" t="str">
        <f>HYPERLINK("http://twitter.com/download/iphone","Twitter for iPhone")</f>
        <v>Twitter for iPhone</v>
      </c>
      <c r="L1204" s="12">
        <v>100</v>
      </c>
      <c r="M1204" s="12">
        <v>246</v>
      </c>
      <c r="N1204" s="12">
        <v>0</v>
      </c>
      <c r="O1204" s="14"/>
      <c r="P1204" s="6">
        <v>40670.637719907405</v>
      </c>
      <c r="Q1204" s="15" t="s">
        <v>4366</v>
      </c>
      <c r="R1204" s="17" t="s">
        <v>4367</v>
      </c>
      <c r="S1204" s="11"/>
      <c r="T1204" s="11"/>
      <c r="U1204" s="10" t="str">
        <f>HYPERLINK("https://pbs.twimg.com/profile_images/1025027996879671297/aILTqw2F.jpg","View")</f>
        <v>View</v>
      </c>
    </row>
    <row r="1205" spans="1:21" ht="30.6">
      <c r="A1205" s="6">
        <v>43439.89435185185</v>
      </c>
      <c r="B1205" s="7" t="str">
        <f>HYPERLINK("https://twitter.com/mpiluca","@mpiluca")</f>
        <v>@mpiluca</v>
      </c>
      <c r="C1205" s="8" t="s">
        <v>4368</v>
      </c>
      <c r="D1205" s="9" t="s">
        <v>4369</v>
      </c>
      <c r="E1205" s="10" t="str">
        <f>HYPERLINK("https://twitter.com/mpiluca/status/1070414472957837313","1070414472957837313")</f>
        <v>1070414472957837313</v>
      </c>
      <c r="F1205" s="11"/>
      <c r="G1205" s="11"/>
      <c r="H1205" s="11"/>
      <c r="I1205" s="12">
        <v>0</v>
      </c>
      <c r="J1205" s="12">
        <v>0</v>
      </c>
      <c r="K1205" s="13" t="str">
        <f>HYPERLINK("https://mobile.twitter.com","Twitter Lite")</f>
        <v>Twitter Lite</v>
      </c>
      <c r="L1205" s="12">
        <v>1299</v>
      </c>
      <c r="M1205" s="12">
        <v>934</v>
      </c>
      <c r="N1205" s="12">
        <v>12</v>
      </c>
      <c r="O1205" s="14"/>
      <c r="P1205" s="6">
        <v>40234.886840277773</v>
      </c>
      <c r="Q1205" s="15" t="s">
        <v>724</v>
      </c>
      <c r="R1205" s="17" t="s">
        <v>4370</v>
      </c>
      <c r="S1205" s="11"/>
      <c r="T1205" s="11"/>
      <c r="U1205" s="10" t="str">
        <f>HYPERLINK("https://pbs.twimg.com/profile_images/685957115408703488/f4lDDZDh.jpg","View")</f>
        <v>View</v>
      </c>
    </row>
    <row r="1206" spans="1:21" ht="71.400000000000006">
      <c r="A1206" s="6">
        <v>43439.894108796296</v>
      </c>
      <c r="B1206" s="7" t="str">
        <f>HYPERLINK("https://twitter.com/elchankete42","@elchankete42")</f>
        <v>@elchankete42</v>
      </c>
      <c r="C1206" s="8" t="s">
        <v>4371</v>
      </c>
      <c r="D1206" s="9" t="s">
        <v>4372</v>
      </c>
      <c r="E1206" s="10" t="str">
        <f>HYPERLINK("https://twitter.com/elchankete42/status/1070414384399310849","1070414384399310849")</f>
        <v>1070414384399310849</v>
      </c>
      <c r="F1206" s="15" t="s">
        <v>4373</v>
      </c>
      <c r="G1206" s="11"/>
      <c r="H1206" s="11"/>
      <c r="I1206" s="12">
        <v>0</v>
      </c>
      <c r="J1206" s="12">
        <v>0</v>
      </c>
      <c r="K1206" s="13" t="str">
        <f>HYPERLINK("http://twitter.com","Twitter Web Client")</f>
        <v>Twitter Web Client</v>
      </c>
      <c r="L1206" s="12">
        <v>211</v>
      </c>
      <c r="M1206" s="12">
        <v>224</v>
      </c>
      <c r="N1206" s="12">
        <v>0</v>
      </c>
      <c r="O1206" s="14"/>
      <c r="P1206" s="6">
        <v>41576.697928240741</v>
      </c>
      <c r="Q1206" s="11"/>
      <c r="R1206" s="18"/>
      <c r="S1206" s="11"/>
      <c r="T1206" s="11"/>
      <c r="U1206" s="10" t="str">
        <f>HYPERLINK("https://pbs.twimg.com/profile_images/519882003202588672/0ZCDLzBC.jpeg","View")</f>
        <v>View</v>
      </c>
    </row>
    <row r="1207" spans="1:21" ht="40.799999999999997">
      <c r="A1207" s="6">
        <v>43439.893530092595</v>
      </c>
      <c r="B1207" s="7" t="str">
        <f>HYPERLINK("https://twitter.com/Silenio","@Silenio")</f>
        <v>@Silenio</v>
      </c>
      <c r="C1207" s="8" t="s">
        <v>4374</v>
      </c>
      <c r="D1207" s="9" t="s">
        <v>4375</v>
      </c>
      <c r="E1207" s="10" t="str">
        <f>HYPERLINK("https://twitter.com/Silenio/status/1070414174650544130","1070414174650544130")</f>
        <v>1070414174650544130</v>
      </c>
      <c r="F1207" s="11"/>
      <c r="G1207" s="11"/>
      <c r="H1207" s="11"/>
      <c r="I1207" s="12">
        <v>0</v>
      </c>
      <c r="J1207" s="12">
        <v>0</v>
      </c>
      <c r="K1207" s="13" t="str">
        <f>HYPERLINK("http://twitter.com/download/android","Twitter for Android")</f>
        <v>Twitter for Android</v>
      </c>
      <c r="L1207" s="12">
        <v>1121</v>
      </c>
      <c r="M1207" s="12">
        <v>2705</v>
      </c>
      <c r="N1207" s="12">
        <v>15</v>
      </c>
      <c r="O1207" s="14"/>
      <c r="P1207" s="6">
        <v>39744.798726851848</v>
      </c>
      <c r="Q1207" s="15" t="s">
        <v>197</v>
      </c>
      <c r="R1207" s="18"/>
      <c r="S1207" s="11"/>
      <c r="T1207" s="11"/>
      <c r="U1207" s="10" t="str">
        <f>HYPERLINK("https://pbs.twimg.com/profile_images/912811226522116096/yACmQjQ4.jpg","View")</f>
        <v>View</v>
      </c>
    </row>
    <row r="1208" spans="1:21" ht="40.799999999999997">
      <c r="A1208" s="6">
        <v>43439.892488425925</v>
      </c>
      <c r="B1208" s="7" t="str">
        <f>HYPERLINK("https://twitter.com/MichelM2000","@MichelM2000")</f>
        <v>@MichelM2000</v>
      </c>
      <c r="C1208" s="8" t="s">
        <v>4376</v>
      </c>
      <c r="D1208" s="9" t="s">
        <v>4377</v>
      </c>
      <c r="E1208" s="10" t="str">
        <f>HYPERLINK("https://twitter.com/MichelM2000/status/1070413796924108804","1070413796924108804")</f>
        <v>1070413796924108804</v>
      </c>
      <c r="F1208" s="16" t="s">
        <v>772</v>
      </c>
      <c r="G1208" s="11"/>
      <c r="H1208" s="11"/>
      <c r="I1208" s="12">
        <v>0</v>
      </c>
      <c r="J1208" s="12">
        <v>0</v>
      </c>
      <c r="K1208" s="13" t="str">
        <f>HYPERLINK("http://twitter.com","Twitter Web Client")</f>
        <v>Twitter Web Client</v>
      </c>
      <c r="L1208" s="12">
        <v>207</v>
      </c>
      <c r="M1208" s="12">
        <v>198</v>
      </c>
      <c r="N1208" s="12">
        <v>9</v>
      </c>
      <c r="O1208" s="14"/>
      <c r="P1208" s="6">
        <v>41094.960752314815</v>
      </c>
      <c r="Q1208" s="15" t="s">
        <v>4378</v>
      </c>
      <c r="R1208" s="17" t="s">
        <v>4379</v>
      </c>
      <c r="S1208" s="11"/>
      <c r="T1208" s="11"/>
      <c r="U1208" s="10" t="str">
        <f>HYPERLINK("https://pbs.twimg.com/profile_images/709080114433277952/GIU6X7VT.jpg","View")</f>
        <v>View</v>
      </c>
    </row>
    <row r="1209" spans="1:21" ht="71.400000000000006">
      <c r="A1209" s="6">
        <v>43439.892141203702</v>
      </c>
      <c r="B1209" s="7" t="str">
        <f>HYPERLINK("https://twitter.com/UlisesGamez10","@UlisesGamez10")</f>
        <v>@UlisesGamez10</v>
      </c>
      <c r="C1209" s="8" t="s">
        <v>233</v>
      </c>
      <c r="D1209" s="9" t="s">
        <v>4380</v>
      </c>
      <c r="E1209" s="10" t="str">
        <f>HYPERLINK("https://twitter.com/UlisesGamez10/status/1070413673871613953","1070413673871613953")</f>
        <v>1070413673871613953</v>
      </c>
      <c r="F1209" s="15" t="s">
        <v>2449</v>
      </c>
      <c r="G1209" s="11"/>
      <c r="H1209" s="11"/>
      <c r="I1209" s="12">
        <v>1</v>
      </c>
      <c r="J1209" s="12">
        <v>2</v>
      </c>
      <c r="K1209" s="13" t="str">
        <f>HYPERLINK("http://twitter.com/download/android","Twitter for Android")</f>
        <v>Twitter for Android</v>
      </c>
      <c r="L1209" s="12">
        <v>1184</v>
      </c>
      <c r="M1209" s="12">
        <v>5002</v>
      </c>
      <c r="N1209" s="12">
        <v>0</v>
      </c>
      <c r="O1209" s="14"/>
      <c r="P1209" s="6">
        <v>43190.59783564815</v>
      </c>
      <c r="Q1209" s="15" t="s">
        <v>236</v>
      </c>
      <c r="R1209" s="17" t="s">
        <v>237</v>
      </c>
      <c r="S1209" s="11"/>
      <c r="T1209" s="11"/>
      <c r="U1209" s="10" t="str">
        <f>HYPERLINK("https://pbs.twimg.com/profile_images/1068881444196499456/MCgxp2WR.jpg","View")</f>
        <v>View</v>
      </c>
    </row>
    <row r="1210" spans="1:21" ht="81.599999999999994">
      <c r="A1210" s="6">
        <v>43439.891273148147</v>
      </c>
      <c r="B1210" s="7" t="str">
        <f>HYPERLINK("https://twitter.com/MonicaRotllan","@MonicaRotllan")</f>
        <v>@MonicaRotllan</v>
      </c>
      <c r="C1210" s="8" t="s">
        <v>4381</v>
      </c>
      <c r="D1210" s="9" t="s">
        <v>4382</v>
      </c>
      <c r="E1210" s="10" t="str">
        <f>HYPERLINK("https://twitter.com/MonicaRotllan/status/1070413356597686281","1070413356597686281")</f>
        <v>1070413356597686281</v>
      </c>
      <c r="F1210" s="16" t="s">
        <v>2854</v>
      </c>
      <c r="G1210" s="16" t="s">
        <v>2855</v>
      </c>
      <c r="H1210" s="11"/>
      <c r="I1210" s="12">
        <v>0</v>
      </c>
      <c r="J1210" s="12">
        <v>0</v>
      </c>
      <c r="K1210" s="13" t="str">
        <f>HYPERLINK("http://twitter.com/download/iphone","Twitter for iPhone")</f>
        <v>Twitter for iPhone</v>
      </c>
      <c r="L1210" s="12">
        <v>456</v>
      </c>
      <c r="M1210" s="12">
        <v>1329</v>
      </c>
      <c r="N1210" s="12">
        <v>3</v>
      </c>
      <c r="O1210" s="14"/>
      <c r="P1210" s="6">
        <v>40720.486342592594</v>
      </c>
      <c r="Q1210" s="11"/>
      <c r="R1210" s="17" t="s">
        <v>4383</v>
      </c>
      <c r="S1210" s="11"/>
      <c r="T1210" s="11"/>
      <c r="U1210" s="10" t="str">
        <f>HYPERLINK("https://pbs.twimg.com/profile_images/1030948089807470593/N0kHU6mc.jpg","View")</f>
        <v>View</v>
      </c>
    </row>
    <row r="1211" spans="1:21" ht="20.399999999999999">
      <c r="A1211" s="6">
        <v>43439.889490740738</v>
      </c>
      <c r="B1211" s="7" t="str">
        <f>HYPERLINK("https://twitter.com/IsaKawalsy","@IsaKawalsy")</f>
        <v>@IsaKawalsy</v>
      </c>
      <c r="C1211" s="8" t="s">
        <v>4384</v>
      </c>
      <c r="D1211" s="9" t="s">
        <v>4385</v>
      </c>
      <c r="E1211" s="10" t="str">
        <f>HYPERLINK("https://twitter.com/IsaKawalsy/status/1070412710062493697","1070412710062493697")</f>
        <v>1070412710062493697</v>
      </c>
      <c r="F1211" s="11"/>
      <c r="G1211" s="11"/>
      <c r="H1211" s="11"/>
      <c r="I1211" s="12">
        <v>0</v>
      </c>
      <c r="J1211" s="12">
        <v>1</v>
      </c>
      <c r="K1211" s="13" t="str">
        <f>HYPERLINK("https://mobile.twitter.com","Twitter Lite")</f>
        <v>Twitter Lite</v>
      </c>
      <c r="L1211" s="12">
        <v>763</v>
      </c>
      <c r="M1211" s="12">
        <v>665</v>
      </c>
      <c r="N1211" s="12">
        <v>4</v>
      </c>
      <c r="O1211" s="14"/>
      <c r="P1211" s="6">
        <v>40985.941412037035</v>
      </c>
      <c r="Q1211" s="15" t="s">
        <v>4386</v>
      </c>
      <c r="R1211" s="17" t="s">
        <v>4387</v>
      </c>
      <c r="S1211" s="11"/>
      <c r="T1211" s="11"/>
      <c r="U1211" s="10" t="str">
        <f>HYPERLINK("https://pbs.twimg.com/profile_images/917529727648325632/KGVemyih.jpg","View")</f>
        <v>View</v>
      </c>
    </row>
    <row r="1212" spans="1:21" ht="20.399999999999999">
      <c r="A1212" s="6">
        <v>43439.889305555553</v>
      </c>
      <c r="B1212" s="7" t="str">
        <f>HYPERLINK("https://twitter.com/_its_fuck_Time","@_its_fuck_Time")</f>
        <v>@_its_fuck_Time</v>
      </c>
      <c r="C1212" s="8" t="s">
        <v>4388</v>
      </c>
      <c r="D1212" s="9" t="s">
        <v>4389</v>
      </c>
      <c r="E1212" s="10" t="str">
        <f>HYPERLINK("https://twitter.com/_its_fuck_Time/status/1070412643578642433","1070412643578642433")</f>
        <v>1070412643578642433</v>
      </c>
      <c r="F1212" s="11"/>
      <c r="G1212" s="16" t="s">
        <v>4390</v>
      </c>
      <c r="H1212" s="11"/>
      <c r="I1212" s="12">
        <v>0</v>
      </c>
      <c r="J1212" s="12">
        <v>1</v>
      </c>
      <c r="K1212" s="13" t="str">
        <f>HYPERLINK("http://twitter.com/download/android","Twitter for Android")</f>
        <v>Twitter for Android</v>
      </c>
      <c r="L1212" s="12">
        <v>893</v>
      </c>
      <c r="M1212" s="12">
        <v>411</v>
      </c>
      <c r="N1212" s="12">
        <v>15</v>
      </c>
      <c r="O1212" s="14"/>
      <c r="P1212" s="6">
        <v>40857.522395833337</v>
      </c>
      <c r="Q1212" s="15" t="s">
        <v>4391</v>
      </c>
      <c r="R1212" s="17" t="s">
        <v>4392</v>
      </c>
      <c r="S1212" s="11"/>
      <c r="T1212" s="11"/>
      <c r="U1212" s="10" t="str">
        <f>HYPERLINK("https://pbs.twimg.com/profile_images/892366231554203649/wV-K2t3w.jpg","View")</f>
        <v>View</v>
      </c>
    </row>
    <row r="1213" spans="1:21" ht="40.799999999999997">
      <c r="A1213" s="6">
        <v>43439.888888888891</v>
      </c>
      <c r="B1213" s="7" t="str">
        <f>HYPERLINK("https://twitter.com/diariovasco","@diariovasco")</f>
        <v>@diariovasco</v>
      </c>
      <c r="C1213" s="8" t="s">
        <v>4393</v>
      </c>
      <c r="D1213" s="9" t="s">
        <v>4394</v>
      </c>
      <c r="E1213" s="10" t="str">
        <f>HYPERLINK("https://twitter.com/diariovasco/status/1070412492902404097","1070412492902404097")</f>
        <v>1070412492902404097</v>
      </c>
      <c r="F1213" s="16" t="s">
        <v>4395</v>
      </c>
      <c r="G1213" s="11"/>
      <c r="H1213" s="11"/>
      <c r="I1213" s="12">
        <v>0</v>
      </c>
      <c r="J1213" s="12">
        <v>0</v>
      </c>
      <c r="K1213" s="13" t="str">
        <f>HYPERLINK("http://dogtrack.es","DogTrack_Oficial")</f>
        <v>DogTrack_Oficial</v>
      </c>
      <c r="L1213" s="12">
        <v>76565</v>
      </c>
      <c r="M1213" s="12">
        <v>882</v>
      </c>
      <c r="N1213" s="12">
        <v>1316</v>
      </c>
      <c r="O1213" s="23" t="s">
        <v>89</v>
      </c>
      <c r="P1213" s="6">
        <v>39542.815335648149</v>
      </c>
      <c r="Q1213" s="15" t="s">
        <v>4396</v>
      </c>
      <c r="R1213" s="17" t="s">
        <v>4397</v>
      </c>
      <c r="S1213" s="16" t="s">
        <v>4398</v>
      </c>
      <c r="T1213" s="11"/>
      <c r="U1213" s="10" t="str">
        <f>HYPERLINK("https://pbs.twimg.com/profile_images/972010219600359425/oUPn-qlC.jpg","View")</f>
        <v>View</v>
      </c>
    </row>
    <row r="1214" spans="1:21" ht="30.6">
      <c r="A1214" s="6">
        <v>43439.887083333335</v>
      </c>
      <c r="B1214" s="7" t="str">
        <f>HYPERLINK("https://twitter.com/Josema0092","@Josema0092")</f>
        <v>@Josema0092</v>
      </c>
      <c r="C1214" s="8" t="s">
        <v>4399</v>
      </c>
      <c r="D1214" s="9" t="s">
        <v>4400</v>
      </c>
      <c r="E1214" s="10" t="str">
        <f>HYPERLINK("https://twitter.com/Josema0092/status/1070411838289002496","1070411838289002496")</f>
        <v>1070411838289002496</v>
      </c>
      <c r="F1214" s="15" t="s">
        <v>4401</v>
      </c>
      <c r="G1214" s="11"/>
      <c r="H1214" s="11"/>
      <c r="I1214" s="12">
        <v>0</v>
      </c>
      <c r="J1214" s="12">
        <v>1</v>
      </c>
      <c r="K1214" s="13" t="str">
        <f t="shared" ref="K1214:K1218" si="283">HYPERLINK("http://twitter.com/download/android","Twitter for Android")</f>
        <v>Twitter for Android</v>
      </c>
      <c r="L1214" s="12">
        <v>2578</v>
      </c>
      <c r="M1214" s="12">
        <v>1383</v>
      </c>
      <c r="N1214" s="12">
        <v>86</v>
      </c>
      <c r="O1214" s="14"/>
      <c r="P1214" s="6">
        <v>40416.892233796294</v>
      </c>
      <c r="Q1214" s="15" t="s">
        <v>612</v>
      </c>
      <c r="R1214" s="17" t="s">
        <v>4402</v>
      </c>
      <c r="S1214" s="11"/>
      <c r="T1214" s="11"/>
      <c r="U1214" s="10" t="str">
        <f>HYPERLINK("https://pbs.twimg.com/profile_images/1031563003039232000/nwCdcVPy.jpg","View")</f>
        <v>View</v>
      </c>
    </row>
    <row r="1215" spans="1:21" ht="30.6">
      <c r="A1215" s="6">
        <v>43439.886493055557</v>
      </c>
      <c r="B1215" s="7" t="str">
        <f>HYPERLINK("https://twitter.com/Terciosviejos1","@Terciosviejos1")</f>
        <v>@Terciosviejos1</v>
      </c>
      <c r="C1215" s="8" t="s">
        <v>4403</v>
      </c>
      <c r="D1215" s="9" t="s">
        <v>4404</v>
      </c>
      <c r="E1215" s="10" t="str">
        <f>HYPERLINK("https://twitter.com/Terciosviejos1/status/1070411624484352005","1070411624484352005")</f>
        <v>1070411624484352005</v>
      </c>
      <c r="F1215" s="16" t="s">
        <v>2006</v>
      </c>
      <c r="G1215" s="11"/>
      <c r="H1215" s="11"/>
      <c r="I1215" s="12">
        <v>0</v>
      </c>
      <c r="J1215" s="12">
        <v>0</v>
      </c>
      <c r="K1215" s="13" t="str">
        <f t="shared" si="283"/>
        <v>Twitter for Android</v>
      </c>
      <c r="L1215" s="12">
        <v>342</v>
      </c>
      <c r="M1215" s="12">
        <v>732</v>
      </c>
      <c r="N1215" s="12">
        <v>0</v>
      </c>
      <c r="O1215" s="14"/>
      <c r="P1215" s="6">
        <v>43403.486597222218</v>
      </c>
      <c r="Q1215" s="15" t="s">
        <v>4405</v>
      </c>
      <c r="R1215" s="17" t="s">
        <v>4406</v>
      </c>
      <c r="S1215" s="11"/>
      <c r="T1215" s="11"/>
      <c r="U1215" s="10" t="str">
        <f>HYPERLINK("https://pbs.twimg.com/profile_images/1057221829943873536/FEP6Ih7q.jpg","View")</f>
        <v>View</v>
      </c>
    </row>
    <row r="1216" spans="1:21" ht="61.2">
      <c r="A1216" s="6">
        <v>43439.884398148148</v>
      </c>
      <c r="B1216" s="7" t="str">
        <f>HYPERLINK("https://twitter.com/memoloamimismo1","@memoloamimismo1")</f>
        <v>@memoloamimismo1</v>
      </c>
      <c r="C1216" s="8" t="s">
        <v>2443</v>
      </c>
      <c r="D1216" s="9" t="s">
        <v>4407</v>
      </c>
      <c r="E1216" s="10" t="str">
        <f>HYPERLINK("https://twitter.com/memoloamimismo1/status/1070410867953545230","1070410867953545230")</f>
        <v>1070410867953545230</v>
      </c>
      <c r="F1216" s="15" t="s">
        <v>4408</v>
      </c>
      <c r="G1216" s="11"/>
      <c r="H1216" s="11"/>
      <c r="I1216" s="12">
        <v>0</v>
      </c>
      <c r="J1216" s="12">
        <v>0</v>
      </c>
      <c r="K1216" s="13" t="str">
        <f t="shared" si="283"/>
        <v>Twitter for Android</v>
      </c>
      <c r="L1216" s="12">
        <v>254</v>
      </c>
      <c r="M1216" s="12">
        <v>196</v>
      </c>
      <c r="N1216" s="12">
        <v>1</v>
      </c>
      <c r="O1216" s="14"/>
      <c r="P1216" s="6">
        <v>40949.509699074071</v>
      </c>
      <c r="Q1216" s="15" t="s">
        <v>2446</v>
      </c>
      <c r="R1216" s="17" t="s">
        <v>2447</v>
      </c>
      <c r="S1216" s="11"/>
      <c r="T1216" s="11"/>
      <c r="U1216" s="10" t="str">
        <f>HYPERLINK("https://pbs.twimg.com/profile_images/1069668803922006016/K8krNDUM.jpg","View")</f>
        <v>View</v>
      </c>
    </row>
    <row r="1217" spans="1:21" ht="40.799999999999997">
      <c r="A1217" s="6">
        <v>43439.884039351848</v>
      </c>
      <c r="B1217" s="7" t="str">
        <f>HYPERLINK("https://twitter.com/ExpositoOrteg","@ExpositoOrteg")</f>
        <v>@ExpositoOrteg</v>
      </c>
      <c r="C1217" s="8" t="s">
        <v>946</v>
      </c>
      <c r="D1217" s="9" t="s">
        <v>4409</v>
      </c>
      <c r="E1217" s="10" t="str">
        <f>HYPERLINK("https://twitter.com/ExpositoOrteg/status/1070410735136706566","1070410735136706566")</f>
        <v>1070410735136706566</v>
      </c>
      <c r="F1217" s="11"/>
      <c r="G1217" s="16" t="s">
        <v>4410</v>
      </c>
      <c r="H1217" s="11"/>
      <c r="I1217" s="12">
        <v>46</v>
      </c>
      <c r="J1217" s="12">
        <v>56</v>
      </c>
      <c r="K1217" s="13" t="str">
        <f t="shared" si="283"/>
        <v>Twitter for Android</v>
      </c>
      <c r="L1217" s="12">
        <v>19932</v>
      </c>
      <c r="M1217" s="12">
        <v>12986</v>
      </c>
      <c r="N1217" s="12">
        <v>108</v>
      </c>
      <c r="O1217" s="14"/>
      <c r="P1217" s="6">
        <v>41567.481932870374</v>
      </c>
      <c r="Q1217" s="15" t="s">
        <v>949</v>
      </c>
      <c r="R1217" s="17" t="s">
        <v>950</v>
      </c>
      <c r="S1217" s="11"/>
      <c r="T1217" s="11"/>
      <c r="U1217" s="10" t="str">
        <f>HYPERLINK("https://pbs.twimg.com/profile_images/1069345462342377477/JHTQmxQT.jpg","View")</f>
        <v>View</v>
      </c>
    </row>
    <row r="1218" spans="1:21" ht="51">
      <c r="A1218" s="6">
        <v>43439.883009259254</v>
      </c>
      <c r="B1218" s="7" t="str">
        <f>HYPERLINK("https://twitter.com/yoymisombra","@yoymisombra")</f>
        <v>@yoymisombra</v>
      </c>
      <c r="C1218" s="8" t="s">
        <v>4411</v>
      </c>
      <c r="D1218" s="9" t="s">
        <v>4412</v>
      </c>
      <c r="E1218" s="10" t="str">
        <f>HYPERLINK("https://twitter.com/yoymisombra/status/1070410363777232898","1070410363777232898")</f>
        <v>1070410363777232898</v>
      </c>
      <c r="F1218" s="11"/>
      <c r="G1218" s="11"/>
      <c r="H1218" s="11"/>
      <c r="I1218" s="12">
        <v>0</v>
      </c>
      <c r="J1218" s="12">
        <v>0</v>
      </c>
      <c r="K1218" s="13" t="str">
        <f t="shared" si="283"/>
        <v>Twitter for Android</v>
      </c>
      <c r="L1218" s="12">
        <v>491</v>
      </c>
      <c r="M1218" s="12">
        <v>999</v>
      </c>
      <c r="N1218" s="12">
        <v>4</v>
      </c>
      <c r="O1218" s="14"/>
      <c r="P1218" s="6">
        <v>43004.918356481481</v>
      </c>
      <c r="Q1218" s="15" t="s">
        <v>4413</v>
      </c>
      <c r="R1218" s="17" t="s">
        <v>4414</v>
      </c>
      <c r="S1218" s="11"/>
      <c r="T1218" s="11"/>
      <c r="U1218" s="10" t="str">
        <f>HYPERLINK("https://pbs.twimg.com/profile_images/1053678920082563073/jCsGna26.jpg","View")</f>
        <v>View</v>
      </c>
    </row>
    <row r="1219" spans="1:21" ht="40.799999999999997">
      <c r="A1219" s="6">
        <v>43439.880162037036</v>
      </c>
      <c r="B1219" s="7" t="str">
        <f>HYPERLINK("https://twitter.com/paula_JB_96","@paula_JB_96")</f>
        <v>@paula_JB_96</v>
      </c>
      <c r="C1219" s="8" t="s">
        <v>4415</v>
      </c>
      <c r="D1219" s="9" t="s">
        <v>4416</v>
      </c>
      <c r="E1219" s="10" t="str">
        <f>HYPERLINK("https://twitter.com/paula_JB_96/status/1070409330728595463","1070409330728595463")</f>
        <v>1070409330728595463</v>
      </c>
      <c r="F1219" s="11"/>
      <c r="G1219" s="16" t="s">
        <v>4417</v>
      </c>
      <c r="H1219" s="11"/>
      <c r="I1219" s="12">
        <v>1</v>
      </c>
      <c r="J1219" s="12">
        <v>2</v>
      </c>
      <c r="K1219" s="13" t="str">
        <f>HYPERLINK("https://mobile.twitter.com","Twitter Lite")</f>
        <v>Twitter Lite</v>
      </c>
      <c r="L1219" s="12">
        <v>225</v>
      </c>
      <c r="M1219" s="12">
        <v>938</v>
      </c>
      <c r="N1219" s="12">
        <v>0</v>
      </c>
      <c r="O1219" s="14"/>
      <c r="P1219" s="6">
        <v>40758.528981481482</v>
      </c>
      <c r="Q1219" s="15" t="s">
        <v>4418</v>
      </c>
      <c r="R1219" s="17" t="s">
        <v>4419</v>
      </c>
      <c r="S1219" s="16" t="s">
        <v>4420</v>
      </c>
      <c r="T1219" s="11"/>
      <c r="U1219" s="10" t="str">
        <f>HYPERLINK("https://pbs.twimg.com/profile_images/1002167410328301568/FBeGD8p0.jpg","View")</f>
        <v>View</v>
      </c>
    </row>
    <row r="1220" spans="1:21" ht="51">
      <c r="A1220" s="6">
        <v>43439.879664351851</v>
      </c>
      <c r="B1220" s="7" t="str">
        <f>HYPERLINK("https://twitter.com/BoscoGuerrero","@BoscoGuerrero")</f>
        <v>@BoscoGuerrero</v>
      </c>
      <c r="C1220" s="8" t="s">
        <v>4421</v>
      </c>
      <c r="D1220" s="9" t="s">
        <v>4422</v>
      </c>
      <c r="E1220" s="10" t="str">
        <f>HYPERLINK("https://twitter.com/BoscoGuerrero/status/1070409151614980096","1070409151614980096")</f>
        <v>1070409151614980096</v>
      </c>
      <c r="F1220" s="11"/>
      <c r="G1220" s="11"/>
      <c r="H1220" s="11"/>
      <c r="I1220" s="12">
        <v>2</v>
      </c>
      <c r="J1220" s="12">
        <v>5</v>
      </c>
      <c r="K1220" s="13" t="str">
        <f>HYPERLINK("http://twitter.com/download/iphone","Twitter for iPhone")</f>
        <v>Twitter for iPhone</v>
      </c>
      <c r="L1220" s="12">
        <v>1033</v>
      </c>
      <c r="M1220" s="12">
        <v>290</v>
      </c>
      <c r="N1220" s="12">
        <v>16</v>
      </c>
      <c r="O1220" s="14"/>
      <c r="P1220" s="6">
        <v>40470.542349537034</v>
      </c>
      <c r="Q1220" s="15" t="s">
        <v>4423</v>
      </c>
      <c r="R1220" s="17" t="s">
        <v>4424</v>
      </c>
      <c r="S1220" s="11"/>
      <c r="T1220" s="11"/>
      <c r="U1220" s="10" t="str">
        <f>HYPERLINK("https://pbs.twimg.com/profile_images/903399082575745024/6CRCMkep.jpg","View")</f>
        <v>View</v>
      </c>
    </row>
    <row r="1221" spans="1:21" ht="40.799999999999997">
      <c r="A1221" s="6">
        <v>43439.879594907412</v>
      </c>
      <c r="B1221" s="7" t="str">
        <f>HYPERLINK("https://twitter.com/penolopeenmadri","@penolopeenmadri")</f>
        <v>@penolopeenmadri</v>
      </c>
      <c r="C1221" s="8" t="s">
        <v>4425</v>
      </c>
      <c r="D1221" s="9" t="s">
        <v>4426</v>
      </c>
      <c r="E1221" s="10" t="str">
        <f>HYPERLINK("https://twitter.com/penolopeenmadri/status/1070409126432387078","1070409126432387078")</f>
        <v>1070409126432387078</v>
      </c>
      <c r="F1221" s="16" t="s">
        <v>4427</v>
      </c>
      <c r="G1221" s="11"/>
      <c r="H1221" s="11"/>
      <c r="I1221" s="12">
        <v>0</v>
      </c>
      <c r="J1221" s="12">
        <v>0</v>
      </c>
      <c r="K1221" s="13" t="str">
        <f>HYPERLINK("http://twitter.com","Twitter Web Client")</f>
        <v>Twitter Web Client</v>
      </c>
      <c r="L1221" s="12">
        <v>609</v>
      </c>
      <c r="M1221" s="12">
        <v>556</v>
      </c>
      <c r="N1221" s="12">
        <v>14</v>
      </c>
      <c r="O1221" s="14"/>
      <c r="P1221" s="6">
        <v>41099.920254629629</v>
      </c>
      <c r="Q1221" s="11"/>
      <c r="R1221" s="17" t="s">
        <v>4428</v>
      </c>
      <c r="S1221" s="11"/>
      <c r="T1221" s="11"/>
      <c r="U1221" s="10" t="str">
        <f>HYPERLINK("https://pbs.twimg.com/profile_images/1011351405213507586/1MHBCoOf.jpg","View")</f>
        <v>View</v>
      </c>
    </row>
    <row r="1222" spans="1:21" ht="30.6">
      <c r="A1222" s="6">
        <v>43439.87799768518</v>
      </c>
      <c r="B1222" s="7" t="str">
        <f>HYPERLINK("https://twitter.com/MariBrandis","@MariBrandis")</f>
        <v>@MariBrandis</v>
      </c>
      <c r="C1222" s="8" t="s">
        <v>4429</v>
      </c>
      <c r="D1222" s="9" t="s">
        <v>4430</v>
      </c>
      <c r="E1222" s="10" t="str">
        <f>HYPERLINK("https://twitter.com/MariBrandis/status/1070408546645393408","1070408546645393408")</f>
        <v>1070408546645393408</v>
      </c>
      <c r="F1222" s="11"/>
      <c r="G1222" s="16" t="s">
        <v>4431</v>
      </c>
      <c r="H1222" s="11"/>
      <c r="I1222" s="12">
        <v>0</v>
      </c>
      <c r="J1222" s="12">
        <v>0</v>
      </c>
      <c r="K1222" s="13" t="str">
        <f t="shared" ref="K1222:K1223" si="284">HYPERLINK("http://twitter.com/download/android","Twitter for Android")</f>
        <v>Twitter for Android</v>
      </c>
      <c r="L1222" s="12">
        <v>103</v>
      </c>
      <c r="M1222" s="12">
        <v>96</v>
      </c>
      <c r="N1222" s="12">
        <v>2</v>
      </c>
      <c r="O1222" s="14"/>
      <c r="P1222" s="6">
        <v>40864.659861111111</v>
      </c>
      <c r="Q1222" s="15" t="s">
        <v>4432</v>
      </c>
      <c r="R1222" s="17" t="s">
        <v>4433</v>
      </c>
      <c r="S1222" s="11"/>
      <c r="T1222" s="11"/>
      <c r="U1222" s="10" t="str">
        <f>HYPERLINK("https://pbs.twimg.com/profile_images/1053266420887416832/1erdEII3.jpg","View")</f>
        <v>View</v>
      </c>
    </row>
    <row r="1223" spans="1:21" ht="40.799999999999997">
      <c r="A1223" s="6">
        <v>43439.877291666664</v>
      </c>
      <c r="B1223" s="7" t="str">
        <f>HYPERLINK("https://twitter.com/santi_78","@santi_78")</f>
        <v>@santi_78</v>
      </c>
      <c r="C1223" s="8" t="s">
        <v>107</v>
      </c>
      <c r="D1223" s="9" t="s">
        <v>4434</v>
      </c>
      <c r="E1223" s="10" t="str">
        <f>HYPERLINK("https://twitter.com/santi_78/status/1070408290989998080","1070408290989998080")</f>
        <v>1070408290989998080</v>
      </c>
      <c r="F1223" s="15" t="s">
        <v>4435</v>
      </c>
      <c r="G1223" s="11"/>
      <c r="H1223" s="11"/>
      <c r="I1223" s="12">
        <v>0</v>
      </c>
      <c r="J1223" s="12">
        <v>0</v>
      </c>
      <c r="K1223" s="13" t="str">
        <f t="shared" si="284"/>
        <v>Twitter for Android</v>
      </c>
      <c r="L1223" s="12">
        <v>49</v>
      </c>
      <c r="M1223" s="12">
        <v>225</v>
      </c>
      <c r="N1223" s="12">
        <v>2</v>
      </c>
      <c r="O1223" s="14"/>
      <c r="P1223" s="6">
        <v>40568.363715277781</v>
      </c>
      <c r="Q1223" s="11"/>
      <c r="R1223" s="18"/>
      <c r="S1223" s="11"/>
      <c r="T1223" s="11"/>
      <c r="U1223" s="10" t="str">
        <f>HYPERLINK("https://pbs.twimg.com/profile_images/3712035652/acc0a29e9568e5b8569c24b19a39ab61.jpeg","View")</f>
        <v>View</v>
      </c>
    </row>
    <row r="1224" spans="1:21" ht="20.399999999999999">
      <c r="A1224" s="6">
        <v>43439.875960648147</v>
      </c>
      <c r="B1224" s="7" t="str">
        <f>HYPERLINK("https://twitter.com/MediterraneoDGT","@MediterraneoDGT")</f>
        <v>@MediterraneoDGT</v>
      </c>
      <c r="C1224" s="8" t="s">
        <v>4436</v>
      </c>
      <c r="D1224" s="9" t="s">
        <v>4437</v>
      </c>
      <c r="E1224" s="10" t="str">
        <f>HYPERLINK("https://twitter.com/MediterraneoDGT/status/1070407809274126339","1070407809274126339")</f>
        <v>1070407809274126339</v>
      </c>
      <c r="F1224" s="16" t="s">
        <v>4438</v>
      </c>
      <c r="G1224" s="11"/>
      <c r="H1224" s="11"/>
      <c r="I1224" s="12">
        <v>66</v>
      </c>
      <c r="J1224" s="12">
        <v>121</v>
      </c>
      <c r="K1224" s="13" t="str">
        <f>HYPERLINK("http://twitter.com","Twitter Web Client")</f>
        <v>Twitter Web Client</v>
      </c>
      <c r="L1224" s="12">
        <v>46954</v>
      </c>
      <c r="M1224" s="12">
        <v>573</v>
      </c>
      <c r="N1224" s="12">
        <v>427</v>
      </c>
      <c r="O1224" s="23" t="s">
        <v>89</v>
      </c>
      <c r="P1224" s="6">
        <v>40460.786620370374</v>
      </c>
      <c r="Q1224" s="15" t="s">
        <v>197</v>
      </c>
      <c r="R1224" s="17" t="s">
        <v>4439</v>
      </c>
      <c r="S1224" s="16" t="s">
        <v>4440</v>
      </c>
      <c r="T1224" s="11"/>
      <c r="U1224" s="10" t="str">
        <f>HYPERLINK("https://pbs.twimg.com/profile_images/756475645941673984/TNBJ4frX.jpg","View")</f>
        <v>View</v>
      </c>
    </row>
    <row r="1225" spans="1:21" ht="30.6">
      <c r="A1225" s="6">
        <v>43439.875937500001</v>
      </c>
      <c r="B1225" s="7" t="str">
        <f>HYPERLINK("https://twitter.com/jupodino","@jupodino")</f>
        <v>@jupodino</v>
      </c>
      <c r="C1225" s="8" t="s">
        <v>4441</v>
      </c>
      <c r="D1225" s="9" t="s">
        <v>4442</v>
      </c>
      <c r="E1225" s="10" t="str">
        <f>HYPERLINK("https://twitter.com/jupodino/status/1070407799115538432","1070407799115538432")</f>
        <v>1070407799115538432</v>
      </c>
      <c r="F1225" s="11"/>
      <c r="G1225" s="11"/>
      <c r="H1225" s="11"/>
      <c r="I1225" s="12">
        <v>1</v>
      </c>
      <c r="J1225" s="12">
        <v>3</v>
      </c>
      <c r="K1225" s="13" t="str">
        <f>HYPERLINK("http://www.tweetcaster.com","TweetCaster for Android")</f>
        <v>TweetCaster for Android</v>
      </c>
      <c r="L1225" s="12">
        <v>43</v>
      </c>
      <c r="M1225" s="12">
        <v>115</v>
      </c>
      <c r="N1225" s="12">
        <v>2</v>
      </c>
      <c r="O1225" s="14"/>
      <c r="P1225" s="6">
        <v>40731.941527777773</v>
      </c>
      <c r="Q1225" s="15" t="s">
        <v>4443</v>
      </c>
      <c r="R1225" s="17" t="s">
        <v>4444</v>
      </c>
      <c r="S1225" s="16" t="s">
        <v>4445</v>
      </c>
      <c r="T1225" s="11"/>
      <c r="U1225" s="10" t="str">
        <f>HYPERLINK("https://pbs.twimg.com/profile_images/747459355923091457/aZx2AInz.jpg","View")</f>
        <v>View</v>
      </c>
    </row>
    <row r="1226" spans="1:21" ht="40.799999999999997">
      <c r="A1226" s="6">
        <v>43439.875925925924</v>
      </c>
      <c r="B1226" s="7" t="str">
        <f>HYPERLINK("https://twitter.com/hidergina","@hidergina")</f>
        <v>@hidergina</v>
      </c>
      <c r="C1226" s="8" t="s">
        <v>2998</v>
      </c>
      <c r="D1226" s="9" t="s">
        <v>4446</v>
      </c>
      <c r="E1226" s="10" t="str">
        <f>HYPERLINK("https://twitter.com/hidergina/status/1070407795764326406","1070407795764326406")</f>
        <v>1070407795764326406</v>
      </c>
      <c r="F1226" s="15" t="s">
        <v>4447</v>
      </c>
      <c r="G1226" s="11"/>
      <c r="H1226" s="11"/>
      <c r="I1226" s="12">
        <v>0</v>
      </c>
      <c r="J1226" s="12">
        <v>1</v>
      </c>
      <c r="K1226" s="13" t="str">
        <f>HYPERLINK("http://twitter.com","Twitter Web Client")</f>
        <v>Twitter Web Client</v>
      </c>
      <c r="L1226" s="12">
        <v>411</v>
      </c>
      <c r="M1226" s="12">
        <v>215</v>
      </c>
      <c r="N1226" s="12">
        <v>6</v>
      </c>
      <c r="O1226" s="14"/>
      <c r="P1226" s="6">
        <v>40610.827361111107</v>
      </c>
      <c r="Q1226" s="11"/>
      <c r="R1226" s="17" t="s">
        <v>3000</v>
      </c>
      <c r="S1226" s="11"/>
      <c r="T1226" s="11"/>
      <c r="U1226" s="10" t="str">
        <f>HYPERLINK("https://pbs.twimg.com/profile_images/1069497191990001664/0PjfQdkU.jpg","View")</f>
        <v>View</v>
      </c>
    </row>
    <row r="1227" spans="1:21" ht="51">
      <c r="A1227" s="6">
        <v>43439.875694444447</v>
      </c>
      <c r="B1227" s="7" t="str">
        <f>HYPERLINK("https://twitter.com/bitMomentum","@bitMomentum")</f>
        <v>@bitMomentum</v>
      </c>
      <c r="C1227" s="8" t="s">
        <v>82</v>
      </c>
      <c r="D1227" s="9" t="s">
        <v>4448</v>
      </c>
      <c r="E1227" s="10" t="str">
        <f>HYPERLINK("https://twitter.com/bitMomentum/status/1070407711135813632","1070407711135813632")</f>
        <v>1070407711135813632</v>
      </c>
      <c r="F1227" s="11"/>
      <c r="G1227" s="11"/>
      <c r="H1227" s="11"/>
      <c r="I1227" s="12">
        <v>1</v>
      </c>
      <c r="J1227" s="12">
        <v>1</v>
      </c>
      <c r="K1227" s="13" t="str">
        <f>HYPERLINK("http://www.bitmomentum.com","bitMomentum Bot")</f>
        <v>bitMomentum Bot</v>
      </c>
      <c r="L1227" s="12">
        <v>10253</v>
      </c>
      <c r="M1227" s="12">
        <v>1059</v>
      </c>
      <c r="N1227" s="12">
        <v>263</v>
      </c>
      <c r="O1227" s="14"/>
      <c r="P1227" s="6">
        <v>41608.667511574073</v>
      </c>
      <c r="Q1227" s="11"/>
      <c r="R1227" s="17" t="s">
        <v>84</v>
      </c>
      <c r="S1227" s="16" t="s">
        <v>85</v>
      </c>
      <c r="T1227" s="11"/>
      <c r="U1227" s="10" t="str">
        <f>HYPERLINK("https://pbs.twimg.com/profile_images/378800000862185241/20ij2H3u.png","View")</f>
        <v>View</v>
      </c>
    </row>
    <row r="1228" spans="1:21" ht="51">
      <c r="A1228" s="6">
        <v>43439.873981481476</v>
      </c>
      <c r="B1228" s="7" t="str">
        <f>HYPERLINK("https://twitter.com/cbenavidesp","@cbenavidesp")</f>
        <v>@cbenavidesp</v>
      </c>
      <c r="C1228" s="8" t="s">
        <v>4449</v>
      </c>
      <c r="D1228" s="9" t="s">
        <v>4450</v>
      </c>
      <c r="E1228" s="10" t="str">
        <f>HYPERLINK("https://twitter.com/cbenavidesp/status/1070407092488548364","1070407092488548364")</f>
        <v>1070407092488548364</v>
      </c>
      <c r="F1228" s="11"/>
      <c r="G1228" s="16" t="s">
        <v>4451</v>
      </c>
      <c r="H1228" s="11"/>
      <c r="I1228" s="12">
        <v>4</v>
      </c>
      <c r="J1228" s="12">
        <v>2</v>
      </c>
      <c r="K1228" s="13" t="str">
        <f t="shared" ref="K1228:K1229" si="285">HYPERLINK("http://twitter.com/download/android","Twitter for Android")</f>
        <v>Twitter for Android</v>
      </c>
      <c r="L1228" s="12">
        <v>2861</v>
      </c>
      <c r="M1228" s="12">
        <v>1676</v>
      </c>
      <c r="N1228" s="12">
        <v>101</v>
      </c>
      <c r="O1228" s="14"/>
      <c r="P1228" s="6">
        <v>40274.5237037037</v>
      </c>
      <c r="Q1228" s="15" t="s">
        <v>4452</v>
      </c>
      <c r="R1228" s="17" t="s">
        <v>4453</v>
      </c>
      <c r="S1228" s="16" t="s">
        <v>4454</v>
      </c>
      <c r="T1228" s="11"/>
      <c r="U1228" s="10" t="str">
        <f>HYPERLINK("https://pbs.twimg.com/profile_images/971705967913111552/9UoU_lSQ.jpg","View")</f>
        <v>View</v>
      </c>
    </row>
    <row r="1229" spans="1:21" ht="40.799999999999997">
      <c r="A1229" s="6">
        <v>43439.871759259258</v>
      </c>
      <c r="B1229" s="7" t="str">
        <f>HYPERLINK("https://twitter.com/RubenSanchezTW","@RubenSanchezTW")</f>
        <v>@RubenSanchezTW</v>
      </c>
      <c r="C1229" s="8" t="s">
        <v>4455</v>
      </c>
      <c r="D1229" s="9" t="s">
        <v>4456</v>
      </c>
      <c r="E1229" s="10" t="str">
        <f>HYPERLINK("https://twitter.com/RubenSanchezTW/status/1070406286129463301","1070406286129463301")</f>
        <v>1070406286129463301</v>
      </c>
      <c r="F1229" s="11"/>
      <c r="G1229" s="16" t="s">
        <v>4457</v>
      </c>
      <c r="H1229" s="11"/>
      <c r="I1229" s="12">
        <v>113</v>
      </c>
      <c r="J1229" s="12">
        <v>194</v>
      </c>
      <c r="K1229" s="13" t="str">
        <f t="shared" si="285"/>
        <v>Twitter for Android</v>
      </c>
      <c r="L1229" s="12">
        <v>147365</v>
      </c>
      <c r="M1229" s="12">
        <v>864</v>
      </c>
      <c r="N1229" s="12">
        <v>1688</v>
      </c>
      <c r="O1229" s="23" t="s">
        <v>89</v>
      </c>
      <c r="P1229" s="6">
        <v>40682.407361111109</v>
      </c>
      <c r="Q1229" s="15" t="s">
        <v>1048</v>
      </c>
      <c r="R1229" s="17" t="s">
        <v>4458</v>
      </c>
      <c r="S1229" s="16" t="s">
        <v>4459</v>
      </c>
      <c r="T1229" s="11"/>
      <c r="U1229" s="10" t="str">
        <f>HYPERLINK("https://pbs.twimg.com/profile_images/1057782918217678848/VS_Lqs8O.jpg","View")</f>
        <v>View</v>
      </c>
    </row>
    <row r="1230" spans="1:21" ht="51">
      <c r="A1230" s="6">
        <v>43439.871678240743</v>
      </c>
      <c r="B1230" s="7" t="str">
        <f>HYPERLINK("https://twitter.com/JuanJuyecri","@JuanJuyecri")</f>
        <v>@JuanJuyecri</v>
      </c>
      <c r="C1230" s="8" t="s">
        <v>4460</v>
      </c>
      <c r="D1230" s="9" t="s">
        <v>4461</v>
      </c>
      <c r="E1230" s="10" t="str">
        <f>HYPERLINK("https://twitter.com/JuanJuyecri/status/1070406255313850368","1070406255313850368")</f>
        <v>1070406255313850368</v>
      </c>
      <c r="F1230" s="11"/>
      <c r="G1230" s="11"/>
      <c r="H1230" s="11"/>
      <c r="I1230" s="12">
        <v>0</v>
      </c>
      <c r="J1230" s="12">
        <v>2</v>
      </c>
      <c r="K1230" s="13" t="str">
        <f>HYPERLINK("http://twitter.com/download/iphone","Twitter for iPhone")</f>
        <v>Twitter for iPhone</v>
      </c>
      <c r="L1230" s="12">
        <v>27</v>
      </c>
      <c r="M1230" s="12">
        <v>135</v>
      </c>
      <c r="N1230" s="12">
        <v>0</v>
      </c>
      <c r="O1230" s="14"/>
      <c r="P1230" s="6">
        <v>41303.843831018516</v>
      </c>
      <c r="Q1230" s="11"/>
      <c r="R1230" s="17" t="s">
        <v>4462</v>
      </c>
      <c r="S1230" s="11"/>
      <c r="T1230" s="11"/>
      <c r="U1230" s="10" t="str">
        <f>HYPERLINK("https://pbs.twimg.com/profile_images/3180578968/39889dda1f4e58c2739e025b59a4a832.jpeg","View")</f>
        <v>View</v>
      </c>
    </row>
    <row r="1231" spans="1:21" ht="30.6">
      <c r="A1231" s="6">
        <v>43439.871111111112</v>
      </c>
      <c r="B1231" s="7" t="str">
        <f>HYPERLINK("https://twitter.com/GalileoSpeirs","@GalileoSpeirs")</f>
        <v>@GalileoSpeirs</v>
      </c>
      <c r="C1231" s="8" t="s">
        <v>4463</v>
      </c>
      <c r="D1231" s="9" t="s">
        <v>4464</v>
      </c>
      <c r="E1231" s="10" t="str">
        <f>HYPERLINK("https://twitter.com/GalileoSpeirs/status/1070406049520345090","1070406049520345090")</f>
        <v>1070406049520345090</v>
      </c>
      <c r="F1231" s="16" t="s">
        <v>1568</v>
      </c>
      <c r="G1231" s="11"/>
      <c r="H1231" s="11"/>
      <c r="I1231" s="12">
        <v>0</v>
      </c>
      <c r="J1231" s="12">
        <v>0</v>
      </c>
      <c r="K1231" s="13" t="str">
        <f t="shared" ref="K1231:K1234" si="286">HYPERLINK("http://twitter.com/download/android","Twitter for Android")</f>
        <v>Twitter for Android</v>
      </c>
      <c r="L1231" s="12">
        <v>271</v>
      </c>
      <c r="M1231" s="12">
        <v>125</v>
      </c>
      <c r="N1231" s="12">
        <v>4</v>
      </c>
      <c r="O1231" s="14"/>
      <c r="P1231" s="6">
        <v>42816.703888888893</v>
      </c>
      <c r="Q1231" s="15" t="s">
        <v>4465</v>
      </c>
      <c r="R1231" s="18"/>
      <c r="S1231" s="11"/>
      <c r="T1231" s="11"/>
      <c r="U1231" s="10" t="str">
        <f>HYPERLINK("https://pbs.twimg.com/profile_images/915708494489296896/tmtL-aFm.jpg","View")</f>
        <v>View</v>
      </c>
    </row>
    <row r="1232" spans="1:21" ht="40.799999999999997">
      <c r="A1232" s="6">
        <v>43439.870266203703</v>
      </c>
      <c r="B1232" s="7" t="str">
        <f>HYPERLINK("https://twitter.com/MarcosVidalR","@MarcosVidalR")</f>
        <v>@MarcosVidalR</v>
      </c>
      <c r="C1232" s="8" t="s">
        <v>4466</v>
      </c>
      <c r="D1232" s="9" t="s">
        <v>4467</v>
      </c>
      <c r="E1232" s="10" t="str">
        <f>HYPERLINK("https://twitter.com/MarcosVidalR/status/1070405747022970880","1070405747022970880")</f>
        <v>1070405747022970880</v>
      </c>
      <c r="F1232" s="15" t="s">
        <v>4468</v>
      </c>
      <c r="G1232" s="11"/>
      <c r="H1232" s="11"/>
      <c r="I1232" s="12">
        <v>0</v>
      </c>
      <c r="J1232" s="12">
        <v>0</v>
      </c>
      <c r="K1232" s="13" t="str">
        <f t="shared" si="286"/>
        <v>Twitter for Android</v>
      </c>
      <c r="L1232" s="12">
        <v>306</v>
      </c>
      <c r="M1232" s="12">
        <v>486</v>
      </c>
      <c r="N1232" s="12">
        <v>4</v>
      </c>
      <c r="O1232" s="14"/>
      <c r="P1232" s="6">
        <v>40591.617905092593</v>
      </c>
      <c r="Q1232" s="15">
        <v>21</v>
      </c>
      <c r="R1232" s="17" t="s">
        <v>4469</v>
      </c>
      <c r="S1232" s="16" t="s">
        <v>4470</v>
      </c>
      <c r="T1232" s="11"/>
      <c r="U1232" s="10" t="str">
        <f>HYPERLINK("https://pbs.twimg.com/profile_images/1013567275738259456/CDfrbmy1.jpg","View")</f>
        <v>View</v>
      </c>
    </row>
    <row r="1233" spans="1:21" ht="51">
      <c r="A1233" s="6">
        <v>43439.869895833333</v>
      </c>
      <c r="B1233" s="7" t="str">
        <f>HYPERLINK("https://twitter.com/RubenSanchezTW","@RubenSanchezTW")</f>
        <v>@RubenSanchezTW</v>
      </c>
      <c r="C1233" s="8" t="s">
        <v>4455</v>
      </c>
      <c r="D1233" s="9" t="s">
        <v>4141</v>
      </c>
      <c r="E1233" s="10" t="str">
        <f>HYPERLINK("https://twitter.com/RubenSanchezTW/status/1070405611295334402","1070405611295334402")</f>
        <v>1070405611295334402</v>
      </c>
      <c r="F1233" s="16" t="s">
        <v>3556</v>
      </c>
      <c r="G1233" s="11"/>
      <c r="H1233" s="11"/>
      <c r="I1233" s="12">
        <v>4638</v>
      </c>
      <c r="J1233" s="12">
        <v>3931</v>
      </c>
      <c r="K1233" s="13" t="str">
        <f t="shared" si="286"/>
        <v>Twitter for Android</v>
      </c>
      <c r="L1233" s="12">
        <v>147365</v>
      </c>
      <c r="M1233" s="12">
        <v>864</v>
      </c>
      <c r="N1233" s="12">
        <v>1688</v>
      </c>
      <c r="O1233" s="23" t="s">
        <v>89</v>
      </c>
      <c r="P1233" s="6">
        <v>40682.407361111109</v>
      </c>
      <c r="Q1233" s="15" t="s">
        <v>1048</v>
      </c>
      <c r="R1233" s="17" t="s">
        <v>4458</v>
      </c>
      <c r="S1233" s="16" t="s">
        <v>4459</v>
      </c>
      <c r="T1233" s="11"/>
      <c r="U1233" s="10" t="str">
        <f>HYPERLINK("https://pbs.twimg.com/profile_images/1057782918217678848/VS_Lqs8O.jpg","View")</f>
        <v>View</v>
      </c>
    </row>
    <row r="1234" spans="1:21" ht="40.799999999999997">
      <c r="A1234" s="6">
        <v>43439.869664351849</v>
      </c>
      <c r="B1234" s="7" t="str">
        <f>HYPERLINK("https://twitter.com/ErosCamacho","@ErosCamacho")</f>
        <v>@ErosCamacho</v>
      </c>
      <c r="C1234" s="8" t="s">
        <v>4471</v>
      </c>
      <c r="D1234" s="9" t="s">
        <v>4472</v>
      </c>
      <c r="E1234" s="10" t="str">
        <f>HYPERLINK("https://twitter.com/ErosCamacho/status/1070405526444523520","1070405526444523520")</f>
        <v>1070405526444523520</v>
      </c>
      <c r="F1234" s="11"/>
      <c r="G1234" s="11"/>
      <c r="H1234" s="11"/>
      <c r="I1234" s="12">
        <v>0</v>
      </c>
      <c r="J1234" s="12">
        <v>5</v>
      </c>
      <c r="K1234" s="13" t="str">
        <f t="shared" si="286"/>
        <v>Twitter for Android</v>
      </c>
      <c r="L1234" s="12">
        <v>204</v>
      </c>
      <c r="M1234" s="12">
        <v>301</v>
      </c>
      <c r="N1234" s="12">
        <v>4</v>
      </c>
      <c r="O1234" s="14"/>
      <c r="P1234" s="6">
        <v>40820.556064814817</v>
      </c>
      <c r="Q1234" s="11"/>
      <c r="R1234" s="17" t="s">
        <v>4473</v>
      </c>
      <c r="S1234" s="11"/>
      <c r="T1234" s="11"/>
      <c r="U1234" s="10" t="str">
        <f>HYPERLINK("https://pbs.twimg.com/profile_images/1014584619675607041/Dp06VHFg.jpg","View")</f>
        <v>View</v>
      </c>
    </row>
    <row r="1235" spans="1:21" ht="30.6">
      <c r="A1235" s="6">
        <v>43439.869629629626</v>
      </c>
      <c r="B1235" s="7" t="str">
        <f>HYPERLINK("https://twitter.com/CorsariodHierro","@CorsariodHierro")</f>
        <v>@CorsariodHierro</v>
      </c>
      <c r="C1235" s="8" t="s">
        <v>4474</v>
      </c>
      <c r="D1235" s="9" t="s">
        <v>4475</v>
      </c>
      <c r="E1235" s="10" t="str">
        <f>HYPERLINK("https://twitter.com/CorsariodHierro/status/1070405513236672513","1070405513236672513")</f>
        <v>1070405513236672513</v>
      </c>
      <c r="F1235" s="15" t="s">
        <v>4476</v>
      </c>
      <c r="G1235" s="11"/>
      <c r="H1235" s="11"/>
      <c r="I1235" s="12">
        <v>0</v>
      </c>
      <c r="J1235" s="12">
        <v>0</v>
      </c>
      <c r="K1235" s="13" t="str">
        <f>HYPERLINK("http://twitter.com/download/iphone","Twitter for iPhone")</f>
        <v>Twitter for iPhone</v>
      </c>
      <c r="L1235" s="12">
        <v>87</v>
      </c>
      <c r="M1235" s="12">
        <v>141</v>
      </c>
      <c r="N1235" s="12">
        <v>0</v>
      </c>
      <c r="O1235" s="14"/>
      <c r="P1235" s="6">
        <v>40246.575590277775</v>
      </c>
      <c r="Q1235" s="11"/>
      <c r="R1235" s="17" t="s">
        <v>4477</v>
      </c>
      <c r="S1235" s="11"/>
      <c r="T1235" s="11"/>
      <c r="U1235" s="10" t="str">
        <f>HYPERLINK("https://pbs.twimg.com/profile_images/1051397975581306880/srLVBC-V.jpg","View")</f>
        <v>View</v>
      </c>
    </row>
    <row r="1236" spans="1:21" ht="40.799999999999997">
      <c r="A1236" s="6">
        <v>43439.867048611108</v>
      </c>
      <c r="B1236" s="7" t="str">
        <f>HYPERLINK("https://twitter.com/Silex_70","@Silex_70")</f>
        <v>@Silex_70</v>
      </c>
      <c r="C1236" s="8" t="s">
        <v>4478</v>
      </c>
      <c r="D1236" s="9" t="s">
        <v>4479</v>
      </c>
      <c r="E1236" s="10" t="str">
        <f>HYPERLINK("https://twitter.com/Silex_70/status/1070404580339535879","1070404580339535879")</f>
        <v>1070404580339535879</v>
      </c>
      <c r="F1236" s="11"/>
      <c r="G1236" s="11"/>
      <c r="H1236" s="11"/>
      <c r="I1236" s="12">
        <v>0</v>
      </c>
      <c r="J1236" s="12">
        <v>0</v>
      </c>
      <c r="K1236" s="13" t="str">
        <f>HYPERLINK("http://twitter.com/download/android","Twitter for Android")</f>
        <v>Twitter for Android</v>
      </c>
      <c r="L1236" s="12">
        <v>31</v>
      </c>
      <c r="M1236" s="12">
        <v>54</v>
      </c>
      <c r="N1236" s="12">
        <v>1</v>
      </c>
      <c r="O1236" s="14"/>
      <c r="P1236" s="6">
        <v>40553.384583333333</v>
      </c>
      <c r="Q1236" s="11"/>
      <c r="R1236" s="17" t="s">
        <v>4480</v>
      </c>
      <c r="S1236" s="11"/>
      <c r="T1236" s="11"/>
      <c r="U1236" s="10" t="str">
        <f>HYPERLINK("https://pbs.twimg.com/profile_images/1351988422/IMG_0151.jpg","View")</f>
        <v>View</v>
      </c>
    </row>
    <row r="1237" spans="1:21" ht="51">
      <c r="A1237" s="6">
        <v>43439.866782407407</v>
      </c>
      <c r="B1237" s="7" t="str">
        <f>HYPERLINK("https://twitter.com/hidergina","@hidergina")</f>
        <v>@hidergina</v>
      </c>
      <c r="C1237" s="8" t="s">
        <v>2998</v>
      </c>
      <c r="D1237" s="9" t="s">
        <v>4481</v>
      </c>
      <c r="E1237" s="10" t="str">
        <f>HYPERLINK("https://twitter.com/hidergina/status/1070404483891519488","1070404483891519488")</f>
        <v>1070404483891519488</v>
      </c>
      <c r="F1237" s="15" t="s">
        <v>4482</v>
      </c>
      <c r="G1237" s="11"/>
      <c r="H1237" s="11"/>
      <c r="I1237" s="12">
        <v>0</v>
      </c>
      <c r="J1237" s="12">
        <v>0</v>
      </c>
      <c r="K1237" s="13" t="str">
        <f>HYPERLINK("http://twitter.com","Twitter Web Client")</f>
        <v>Twitter Web Client</v>
      </c>
      <c r="L1237" s="12">
        <v>411</v>
      </c>
      <c r="M1237" s="12">
        <v>215</v>
      </c>
      <c r="N1237" s="12">
        <v>6</v>
      </c>
      <c r="O1237" s="14"/>
      <c r="P1237" s="6">
        <v>40610.827361111107</v>
      </c>
      <c r="Q1237" s="11"/>
      <c r="R1237" s="17" t="s">
        <v>3000</v>
      </c>
      <c r="S1237" s="11"/>
      <c r="T1237" s="11"/>
      <c r="U1237" s="10" t="str">
        <f>HYPERLINK("https://pbs.twimg.com/profile_images/1069497191990001664/0PjfQdkU.jpg","View")</f>
        <v>View</v>
      </c>
    </row>
    <row r="1238" spans="1:21" ht="51">
      <c r="A1238" s="6">
        <v>43439.866747685184</v>
      </c>
      <c r="B1238" s="7" t="str">
        <f>HYPERLINK("https://twitter.com/Franktast1c0","@Franktast1c0")</f>
        <v>@Franktast1c0</v>
      </c>
      <c r="C1238" s="8" t="s">
        <v>4483</v>
      </c>
      <c r="D1238" s="9" t="s">
        <v>4484</v>
      </c>
      <c r="E1238" s="10" t="str">
        <f>HYPERLINK("https://twitter.com/Franktast1c0/status/1070404470578864129","1070404470578864129")</f>
        <v>1070404470578864129</v>
      </c>
      <c r="F1238" s="15" t="s">
        <v>4485</v>
      </c>
      <c r="G1238" s="11"/>
      <c r="H1238" s="11"/>
      <c r="I1238" s="12">
        <v>0</v>
      </c>
      <c r="J1238" s="12">
        <v>0</v>
      </c>
      <c r="K1238" s="13" t="str">
        <f>HYPERLINK("http://twitter.com/download/iphone","Twitter for iPhone")</f>
        <v>Twitter for iPhone</v>
      </c>
      <c r="L1238" s="12">
        <v>133</v>
      </c>
      <c r="M1238" s="12">
        <v>294</v>
      </c>
      <c r="N1238" s="12">
        <v>10</v>
      </c>
      <c r="O1238" s="14"/>
      <c r="P1238" s="6">
        <v>42079.963217592594</v>
      </c>
      <c r="Q1238" s="15" t="s">
        <v>4486</v>
      </c>
      <c r="R1238" s="17" t="s">
        <v>4487</v>
      </c>
      <c r="S1238" s="16" t="s">
        <v>4488</v>
      </c>
      <c r="T1238" s="11"/>
      <c r="U1238" s="10" t="str">
        <f>HYPERLINK("https://pbs.twimg.com/profile_images/911337469077008389/WlrQwD52.jpg","View")</f>
        <v>View</v>
      </c>
    </row>
    <row r="1239" spans="1:21" ht="71.400000000000006">
      <c r="A1239" s="6">
        <v>43439.866435185184</v>
      </c>
      <c r="B1239" s="7" t="str">
        <f>HYPERLINK("https://twitter.com/JuanmadelaPoza","@JuanmadelaPoza")</f>
        <v>@JuanmadelaPoza</v>
      </c>
      <c r="C1239" s="8" t="s">
        <v>4489</v>
      </c>
      <c r="D1239" s="9" t="s">
        <v>4490</v>
      </c>
      <c r="E1239" s="10" t="str">
        <f>HYPERLINK("https://twitter.com/JuanmadelaPoza/status/1070404358423101445","1070404358423101445")</f>
        <v>1070404358423101445</v>
      </c>
      <c r="F1239" s="15" t="s">
        <v>4491</v>
      </c>
      <c r="G1239" s="11"/>
      <c r="H1239" s="11"/>
      <c r="I1239" s="12">
        <v>1</v>
      </c>
      <c r="J1239" s="12">
        <v>1</v>
      </c>
      <c r="K1239" s="13" t="str">
        <f>HYPERLINK("http://twitter.com/download/android","Twitter for Android")</f>
        <v>Twitter for Android</v>
      </c>
      <c r="L1239" s="12">
        <v>1308</v>
      </c>
      <c r="M1239" s="12">
        <v>3087</v>
      </c>
      <c r="N1239" s="12">
        <v>7</v>
      </c>
      <c r="O1239" s="14"/>
      <c r="P1239" s="6">
        <v>41569.838287037041</v>
      </c>
      <c r="Q1239" s="15" t="s">
        <v>1815</v>
      </c>
      <c r="R1239" s="17" t="s">
        <v>4492</v>
      </c>
      <c r="S1239" s="11"/>
      <c r="T1239" s="11"/>
      <c r="U1239" s="10" t="str">
        <f>HYPERLINK("https://pbs.twimg.com/profile_images/955160476002017282/gjHnTsO7.jpg","View")</f>
        <v>View</v>
      </c>
    </row>
    <row r="1240" spans="1:21" ht="30.6">
      <c r="A1240" s="6">
        <v>43439.866435185184</v>
      </c>
      <c r="B1240" s="7" t="str">
        <f>HYPERLINK("https://twitter.com/fukermix","@fukermix")</f>
        <v>@fukermix</v>
      </c>
      <c r="C1240" s="8" t="s">
        <v>797</v>
      </c>
      <c r="D1240" s="9" t="s">
        <v>4493</v>
      </c>
      <c r="E1240" s="10" t="str">
        <f>HYPERLINK("https://twitter.com/fukermix/status/1070404357898817537","1070404357898817537")</f>
        <v>1070404357898817537</v>
      </c>
      <c r="F1240" s="11"/>
      <c r="G1240" s="11"/>
      <c r="H1240" s="11"/>
      <c r="I1240" s="12">
        <v>0</v>
      </c>
      <c r="J1240" s="12">
        <v>0</v>
      </c>
      <c r="K1240" s="13" t="str">
        <f>HYPERLINK("http://twitter.com/download/iphone","Twitter for iPhone")</f>
        <v>Twitter for iPhone</v>
      </c>
      <c r="L1240" s="12">
        <v>288</v>
      </c>
      <c r="M1240" s="12">
        <v>703</v>
      </c>
      <c r="N1240" s="12">
        <v>5</v>
      </c>
      <c r="O1240" s="14"/>
      <c r="P1240" s="6">
        <v>40329.718796296293</v>
      </c>
      <c r="Q1240" s="15" t="s">
        <v>799</v>
      </c>
      <c r="R1240" s="25" t="s">
        <v>800</v>
      </c>
      <c r="S1240" s="11"/>
      <c r="T1240" s="11"/>
      <c r="U1240" s="10" t="str">
        <f>HYPERLINK("https://pbs.twimg.com/profile_images/3738212782/7721dd0a0b154af39e42a2baea041f08.jpeg","View")</f>
        <v>View</v>
      </c>
    </row>
    <row r="1241" spans="1:21" ht="40.799999999999997">
      <c r="A1241" s="6">
        <v>43439.865162037036</v>
      </c>
      <c r="B1241" s="7" t="str">
        <f>HYPERLINK("https://twitter.com/HanTiempos","@HanTiempos")</f>
        <v>@HanTiempos</v>
      </c>
      <c r="C1241" s="8" t="s">
        <v>4494</v>
      </c>
      <c r="D1241" s="9" t="s">
        <v>4495</v>
      </c>
      <c r="E1241" s="10" t="str">
        <f>HYPERLINK("https://twitter.com/HanTiempos/status/1070403895468404736","1070403895468404736")</f>
        <v>1070403895468404736</v>
      </c>
      <c r="F1241" s="11"/>
      <c r="G1241" s="16" t="s">
        <v>4496</v>
      </c>
      <c r="H1241" s="11"/>
      <c r="I1241" s="12">
        <v>0</v>
      </c>
      <c r="J1241" s="12">
        <v>0</v>
      </c>
      <c r="K1241" s="13" t="str">
        <f>HYPERLINK("http://twitter.com/download/android","Twitter for Android")</f>
        <v>Twitter for Android</v>
      </c>
      <c r="L1241" s="12">
        <v>32</v>
      </c>
      <c r="M1241" s="12">
        <v>67</v>
      </c>
      <c r="N1241" s="12">
        <v>0</v>
      </c>
      <c r="O1241" s="14"/>
      <c r="P1241" s="6">
        <v>43439.485393518524</v>
      </c>
      <c r="Q1241" s="15" t="s">
        <v>1907</v>
      </c>
      <c r="R1241" s="17" t="s">
        <v>4497</v>
      </c>
      <c r="S1241" s="11"/>
      <c r="T1241" s="11"/>
      <c r="U1241" s="10" t="str">
        <f>HYPERLINK("https://pbs.twimg.com/profile_images/1070278060799340545/kDy-Ume0.jpg","View")</f>
        <v>View</v>
      </c>
    </row>
    <row r="1242" spans="1:21" ht="20.399999999999999">
      <c r="A1242" s="6">
        <v>43439.863159722227</v>
      </c>
      <c r="B1242" s="7" t="str">
        <f>HYPERLINK("https://twitter.com/PattyMises","@PattyMises")</f>
        <v>@PattyMises</v>
      </c>
      <c r="C1242" s="8" t="s">
        <v>4498</v>
      </c>
      <c r="D1242" s="9" t="s">
        <v>4499</v>
      </c>
      <c r="E1242" s="10" t="str">
        <f>HYPERLINK("https://twitter.com/PattyMises/status/1070403168545202179","1070403168545202179")</f>
        <v>1070403168545202179</v>
      </c>
      <c r="F1242" s="16" t="s">
        <v>4500</v>
      </c>
      <c r="G1242" s="11"/>
      <c r="H1242" s="11"/>
      <c r="I1242" s="12">
        <v>0</v>
      </c>
      <c r="J1242" s="12">
        <v>0</v>
      </c>
      <c r="K1242" s="13" t="str">
        <f t="shared" ref="K1242:K1243" si="287">HYPERLINK("http://twitter.com","Twitter Web Client")</f>
        <v>Twitter Web Client</v>
      </c>
      <c r="L1242" s="12">
        <v>510</v>
      </c>
      <c r="M1242" s="12">
        <v>832</v>
      </c>
      <c r="N1242" s="12">
        <v>4</v>
      </c>
      <c r="O1242" s="14"/>
      <c r="P1242" s="6">
        <v>40809.314212962963</v>
      </c>
      <c r="Q1242" s="15" t="s">
        <v>4501</v>
      </c>
      <c r="R1242" s="17" t="s">
        <v>4502</v>
      </c>
      <c r="S1242" s="11"/>
      <c r="T1242" s="11"/>
      <c r="U1242" s="10" t="str">
        <f>HYPERLINK("https://pbs.twimg.com/profile_images/907337317156884480/wSS0N6d6.jpg","View")</f>
        <v>View</v>
      </c>
    </row>
    <row r="1243" spans="1:21" ht="51">
      <c r="A1243" s="6">
        <v>43439.861539351856</v>
      </c>
      <c r="B1243" s="7" t="str">
        <f>HYPERLINK("https://twitter.com/WharfRat_DE","@WharfRat_DE")</f>
        <v>@WharfRat_DE</v>
      </c>
      <c r="C1243" s="8" t="s">
        <v>4503</v>
      </c>
      <c r="D1243" s="9" t="s">
        <v>4504</v>
      </c>
      <c r="E1243" s="10" t="str">
        <f>HYPERLINK("https://twitter.com/WharfRat_DE/status/1070402582454173697","1070402582454173697")</f>
        <v>1070402582454173697</v>
      </c>
      <c r="F1243" s="11"/>
      <c r="G1243" s="11"/>
      <c r="H1243" s="11"/>
      <c r="I1243" s="12">
        <v>49</v>
      </c>
      <c r="J1243" s="12">
        <v>90</v>
      </c>
      <c r="K1243" s="13" t="str">
        <f t="shared" si="287"/>
        <v>Twitter Web Client</v>
      </c>
      <c r="L1243" s="12">
        <v>15627</v>
      </c>
      <c r="M1243" s="12">
        <v>2029</v>
      </c>
      <c r="N1243" s="12">
        <v>189</v>
      </c>
      <c r="O1243" s="14"/>
      <c r="P1243" s="6">
        <v>41352.818090277782</v>
      </c>
      <c r="Q1243" s="15" t="s">
        <v>4505</v>
      </c>
      <c r="R1243" s="17" t="s">
        <v>4506</v>
      </c>
      <c r="S1243" s="11"/>
      <c r="T1243" s="11"/>
      <c r="U1243" s="10" t="str">
        <f>HYPERLINK("https://pbs.twimg.com/profile_images/1058882973431488514/t7BKd5Pl.jpg","View")</f>
        <v>View</v>
      </c>
    </row>
    <row r="1244" spans="1:21" ht="51">
      <c r="A1244" s="6">
        <v>43439.861261574071</v>
      </c>
      <c r="B1244" s="7" t="str">
        <f>HYPERLINK("https://twitter.com/Pedrokupa","@Pedrokupa")</f>
        <v>@Pedrokupa</v>
      </c>
      <c r="C1244" s="8" t="s">
        <v>1602</v>
      </c>
      <c r="D1244" s="9" t="s">
        <v>4507</v>
      </c>
      <c r="E1244" s="10" t="str">
        <f>HYPERLINK("https://twitter.com/Pedrokupa/status/1070402483518914560","1070402483518914560")</f>
        <v>1070402483518914560</v>
      </c>
      <c r="F1244" s="11"/>
      <c r="G1244" s="16" t="s">
        <v>4508</v>
      </c>
      <c r="H1244" s="11"/>
      <c r="I1244" s="12">
        <v>0</v>
      </c>
      <c r="J1244" s="12">
        <v>0</v>
      </c>
      <c r="K1244" s="13" t="str">
        <f>HYPERLINK("http://twitter.com/download/android","Twitter for Android")</f>
        <v>Twitter for Android</v>
      </c>
      <c r="L1244" s="12">
        <v>1134</v>
      </c>
      <c r="M1244" s="12">
        <v>204</v>
      </c>
      <c r="N1244" s="12">
        <v>11</v>
      </c>
      <c r="O1244" s="14"/>
      <c r="P1244" s="6">
        <v>41148.026273148149</v>
      </c>
      <c r="Q1244" s="15" t="s">
        <v>1604</v>
      </c>
      <c r="R1244" s="17" t="s">
        <v>1605</v>
      </c>
      <c r="S1244" s="11"/>
      <c r="T1244" s="11"/>
      <c r="U1244" s="10" t="str">
        <f>HYPERLINK("https://pbs.twimg.com/profile_images/1024057409839480832/LmBrp5MR.jpg","View")</f>
        <v>View</v>
      </c>
    </row>
    <row r="1245" spans="1:21" ht="61.2">
      <c r="A1245" s="6">
        <v>43439.859270833331</v>
      </c>
      <c r="B1245" s="7" t="str">
        <f>HYPERLINK("https://twitter.com/ElAngelFacha","@ElAngelFacha")</f>
        <v>@ElAngelFacha</v>
      </c>
      <c r="C1245" s="8" t="s">
        <v>246</v>
      </c>
      <c r="D1245" s="9" t="s">
        <v>4509</v>
      </c>
      <c r="E1245" s="10" t="str">
        <f>HYPERLINK("https://twitter.com/ElAngelFacha/status/1070401760248909824","1070401760248909824")</f>
        <v>1070401760248909824</v>
      </c>
      <c r="F1245" s="11"/>
      <c r="G1245" s="16" t="s">
        <v>4510</v>
      </c>
      <c r="H1245" s="11"/>
      <c r="I1245" s="12">
        <v>20</v>
      </c>
      <c r="J1245" s="12">
        <v>13</v>
      </c>
      <c r="K1245" s="13" t="str">
        <f>HYPERLINK("http://twitter.com","Twitter Web Client")</f>
        <v>Twitter Web Client</v>
      </c>
      <c r="L1245" s="12">
        <v>1472</v>
      </c>
      <c r="M1245" s="12">
        <v>2060</v>
      </c>
      <c r="N1245" s="12">
        <v>4</v>
      </c>
      <c r="O1245" s="14"/>
      <c r="P1245" s="6">
        <v>42923.928784722222</v>
      </c>
      <c r="Q1245" s="15" t="s">
        <v>249</v>
      </c>
      <c r="R1245" s="17" t="s">
        <v>250</v>
      </c>
      <c r="S1245" s="11"/>
      <c r="T1245" s="11"/>
      <c r="U1245" s="10" t="str">
        <f>HYPERLINK("https://pbs.twimg.com/profile_images/1068670609935208450/c84QvuV4.jpg","View")</f>
        <v>View</v>
      </c>
    </row>
    <row r="1246" spans="1:21" ht="30.6">
      <c r="A1246" s="6">
        <v>43439.859178240746</v>
      </c>
      <c r="B1246" s="7" t="str">
        <f>HYPERLINK("https://twitter.com/PayasosLos","@PayasosLos")</f>
        <v>@PayasosLos</v>
      </c>
      <c r="C1246" s="8" t="s">
        <v>4511</v>
      </c>
      <c r="D1246" s="9" t="s">
        <v>4512</v>
      </c>
      <c r="E1246" s="10" t="str">
        <f>HYPERLINK("https://twitter.com/PayasosLos/status/1070401726098870273","1070401726098870273")</f>
        <v>1070401726098870273</v>
      </c>
      <c r="F1246" s="16" t="s">
        <v>4513</v>
      </c>
      <c r="G1246" s="11"/>
      <c r="H1246" s="11"/>
      <c r="I1246" s="12">
        <v>0</v>
      </c>
      <c r="J1246" s="12">
        <v>0</v>
      </c>
      <c r="K1246" s="13" t="str">
        <f>HYPERLINK("http://twitter.com/download/android","Twitter for Android")</f>
        <v>Twitter for Android</v>
      </c>
      <c r="L1246" s="12">
        <v>30</v>
      </c>
      <c r="M1246" s="12">
        <v>115</v>
      </c>
      <c r="N1246" s="12">
        <v>0</v>
      </c>
      <c r="O1246" s="14"/>
      <c r="P1246" s="6">
        <v>43371.027696759258</v>
      </c>
      <c r="Q1246" s="11"/>
      <c r="R1246" s="18"/>
      <c r="S1246" s="11"/>
      <c r="T1246" s="11"/>
      <c r="U1246" s="10" t="str">
        <f>HYPERLINK("https://pbs.twimg.com/profile_images/1045443586722942976/vTADNn8f.jpg","View")</f>
        <v>View</v>
      </c>
    </row>
    <row r="1247" spans="1:21" ht="51">
      <c r="A1247" s="6">
        <v>43439.858784722222</v>
      </c>
      <c r="B1247" s="7" t="str">
        <f>HYPERLINK("https://twitter.com/hidergina","@hidergina")</f>
        <v>@hidergina</v>
      </c>
      <c r="C1247" s="8" t="s">
        <v>2998</v>
      </c>
      <c r="D1247" s="9" t="s">
        <v>4514</v>
      </c>
      <c r="E1247" s="10" t="str">
        <f>HYPERLINK("https://twitter.com/hidergina/status/1070401585845559308","1070401585845559308")</f>
        <v>1070401585845559308</v>
      </c>
      <c r="F1247" s="15" t="s">
        <v>4515</v>
      </c>
      <c r="G1247" s="11"/>
      <c r="H1247" s="11"/>
      <c r="I1247" s="12">
        <v>0</v>
      </c>
      <c r="J1247" s="12">
        <v>0</v>
      </c>
      <c r="K1247" s="13" t="str">
        <f>HYPERLINK("http://twitter.com","Twitter Web Client")</f>
        <v>Twitter Web Client</v>
      </c>
      <c r="L1247" s="12">
        <v>411</v>
      </c>
      <c r="M1247" s="12">
        <v>215</v>
      </c>
      <c r="N1247" s="12">
        <v>6</v>
      </c>
      <c r="O1247" s="14"/>
      <c r="P1247" s="6">
        <v>40610.827361111107</v>
      </c>
      <c r="Q1247" s="11"/>
      <c r="R1247" s="17" t="s">
        <v>3000</v>
      </c>
      <c r="S1247" s="11"/>
      <c r="T1247" s="11"/>
      <c r="U1247" s="10" t="str">
        <f>HYPERLINK("https://pbs.twimg.com/profile_images/1069497191990001664/0PjfQdkU.jpg","View")</f>
        <v>View</v>
      </c>
    </row>
    <row r="1248" spans="1:21" ht="30.6">
      <c r="A1248" s="6">
        <v>43439.857245370367</v>
      </c>
      <c r="B1248" s="7" t="str">
        <f>HYPERLINK("https://twitter.com/estebanmb12","@estebanmb12")</f>
        <v>@estebanmb12</v>
      </c>
      <c r="C1248" s="8" t="s">
        <v>4516</v>
      </c>
      <c r="D1248" s="9" t="s">
        <v>4517</v>
      </c>
      <c r="E1248" s="10" t="str">
        <f>HYPERLINK("https://twitter.com/estebanmb12/status/1070401025209708544","1070401025209708544")</f>
        <v>1070401025209708544</v>
      </c>
      <c r="F1248" s="15" t="s">
        <v>1001</v>
      </c>
      <c r="G1248" s="16" t="s">
        <v>1002</v>
      </c>
      <c r="H1248" s="11"/>
      <c r="I1248" s="12">
        <v>0</v>
      </c>
      <c r="J1248" s="12">
        <v>0</v>
      </c>
      <c r="K1248" s="13" t="str">
        <f>HYPERLINK("http://twitter.com/download/iphone","Twitter for iPhone")</f>
        <v>Twitter for iPhone</v>
      </c>
      <c r="L1248" s="12">
        <v>336</v>
      </c>
      <c r="M1248" s="12">
        <v>376</v>
      </c>
      <c r="N1248" s="12">
        <v>0</v>
      </c>
      <c r="O1248" s="14"/>
      <c r="P1248" s="6">
        <v>40841.787592592591</v>
      </c>
      <c r="Q1248" s="11"/>
      <c r="R1248" s="17" t="s">
        <v>4518</v>
      </c>
      <c r="S1248" s="16" t="s">
        <v>4519</v>
      </c>
      <c r="T1248" s="11"/>
      <c r="U1248" s="10" t="str">
        <f>HYPERLINK("https://pbs.twimg.com/profile_images/830896691951915009/_Xo-xRg1.jpg","View")</f>
        <v>View</v>
      </c>
    </row>
    <row r="1249" spans="1:21" ht="51">
      <c r="A1249" s="6">
        <v>43439.85533564815</v>
      </c>
      <c r="B1249" s="7" t="str">
        <f>HYPERLINK("https://twitter.com/HanTiempos","@HanTiempos")</f>
        <v>@HanTiempos</v>
      </c>
      <c r="C1249" s="8" t="s">
        <v>4494</v>
      </c>
      <c r="D1249" s="9" t="s">
        <v>4520</v>
      </c>
      <c r="E1249" s="10" t="str">
        <f>HYPERLINK("https://twitter.com/HanTiempos/status/1070400335259361281","1070400335259361281")</f>
        <v>1070400335259361281</v>
      </c>
      <c r="F1249" s="11"/>
      <c r="G1249" s="16" t="s">
        <v>4521</v>
      </c>
      <c r="H1249" s="11"/>
      <c r="I1249" s="12">
        <v>0</v>
      </c>
      <c r="J1249" s="12">
        <v>0</v>
      </c>
      <c r="K1249" s="13" t="str">
        <f t="shared" ref="K1249:K1250" si="288">HYPERLINK("http://twitter.com/download/android","Twitter for Android")</f>
        <v>Twitter for Android</v>
      </c>
      <c r="L1249" s="12">
        <v>32</v>
      </c>
      <c r="M1249" s="12">
        <v>67</v>
      </c>
      <c r="N1249" s="12">
        <v>0</v>
      </c>
      <c r="O1249" s="14"/>
      <c r="P1249" s="6">
        <v>43439.485393518524</v>
      </c>
      <c r="Q1249" s="15" t="s">
        <v>1907</v>
      </c>
      <c r="R1249" s="17" t="s">
        <v>4497</v>
      </c>
      <c r="S1249" s="11"/>
      <c r="T1249" s="11"/>
      <c r="U1249" s="10" t="str">
        <f>HYPERLINK("https://pbs.twimg.com/profile_images/1070278060799340545/kDy-Ume0.jpg","View")</f>
        <v>View</v>
      </c>
    </row>
    <row r="1250" spans="1:21" ht="51">
      <c r="A1250" s="6">
        <v>43439.855219907404</v>
      </c>
      <c r="B1250" s="7" t="str">
        <f>HYPERLINK("https://twitter.com/voxnoticias_es","@voxnoticias_es")</f>
        <v>@voxnoticias_es</v>
      </c>
      <c r="C1250" s="8" t="s">
        <v>4522</v>
      </c>
      <c r="D1250" s="9" t="s">
        <v>4523</v>
      </c>
      <c r="E1250" s="10" t="str">
        <f>HYPERLINK("https://twitter.com/voxnoticias_es/status/1070400294343856128","1070400294343856128")</f>
        <v>1070400294343856128</v>
      </c>
      <c r="F1250" s="11"/>
      <c r="G1250" s="16" t="s">
        <v>3673</v>
      </c>
      <c r="H1250" s="11"/>
      <c r="I1250" s="12">
        <v>363</v>
      </c>
      <c r="J1250" s="12">
        <v>689</v>
      </c>
      <c r="K1250" s="13" t="str">
        <f t="shared" si="288"/>
        <v>Twitter for Android</v>
      </c>
      <c r="L1250" s="12">
        <v>21631</v>
      </c>
      <c r="M1250" s="12">
        <v>2131</v>
      </c>
      <c r="N1250" s="12">
        <v>145</v>
      </c>
      <c r="O1250" s="14"/>
      <c r="P1250" s="6">
        <v>41687.875428240739</v>
      </c>
      <c r="Q1250" s="15" t="s">
        <v>4524</v>
      </c>
      <c r="R1250" s="17" t="s">
        <v>4525</v>
      </c>
      <c r="S1250" s="16" t="s">
        <v>4526</v>
      </c>
      <c r="T1250" s="11"/>
      <c r="U1250" s="10" t="str">
        <f>HYPERLINK("https://pbs.twimg.com/profile_images/900432165195980801/-2-6PzuU.jpg","View")</f>
        <v>View</v>
      </c>
    </row>
    <row r="1251" spans="1:21" ht="61.2">
      <c r="A1251" s="6">
        <v>43439.854687500003</v>
      </c>
      <c r="B1251" s="7" t="str">
        <f>HYPERLINK("https://twitter.com/LINCE74545899","@LINCE74545899")</f>
        <v>@LINCE74545899</v>
      </c>
      <c r="C1251" s="8" t="s">
        <v>4527</v>
      </c>
      <c r="D1251" s="9" t="s">
        <v>4528</v>
      </c>
      <c r="E1251" s="10" t="str">
        <f>HYPERLINK("https://twitter.com/LINCE74545899/status/1070400100336316417","1070400100336316417")</f>
        <v>1070400100336316417</v>
      </c>
      <c r="F1251" s="11"/>
      <c r="G1251" s="11"/>
      <c r="H1251" s="11"/>
      <c r="I1251" s="12">
        <v>1</v>
      </c>
      <c r="J1251" s="12">
        <v>4</v>
      </c>
      <c r="K1251" s="13" t="str">
        <f>HYPERLINK("http://twitter.com","Twitter Web Client")</f>
        <v>Twitter Web Client</v>
      </c>
      <c r="L1251" s="12">
        <v>73</v>
      </c>
      <c r="M1251" s="12">
        <v>128</v>
      </c>
      <c r="N1251" s="12">
        <v>0</v>
      </c>
      <c r="O1251" s="14"/>
      <c r="P1251" s="6">
        <v>43361.568344907406</v>
      </c>
      <c r="Q1251" s="11"/>
      <c r="R1251" s="18"/>
      <c r="S1251" s="11"/>
      <c r="T1251" s="11"/>
      <c r="U1251" s="10" t="str">
        <f>HYPERLINK("https://pbs.twimg.com/profile_images/1042017361551917056/MKvMmp6K.jpg","View")</f>
        <v>View</v>
      </c>
    </row>
    <row r="1252" spans="1:21" ht="40.799999999999997">
      <c r="A1252" s="6">
        <v>43439.854189814811</v>
      </c>
      <c r="B1252" s="7" t="str">
        <f>HYPERLINK("https://twitter.com/RogerHeredia83","@RogerHeredia83")</f>
        <v>@RogerHeredia83</v>
      </c>
      <c r="C1252" s="8" t="s">
        <v>4529</v>
      </c>
      <c r="D1252" s="9" t="s">
        <v>4530</v>
      </c>
      <c r="E1252" s="10" t="str">
        <f>HYPERLINK("https://twitter.com/RogerHeredia83/status/1070399917791825920","1070399917791825920")</f>
        <v>1070399917791825920</v>
      </c>
      <c r="F1252" s="16" t="s">
        <v>4531</v>
      </c>
      <c r="G1252" s="11"/>
      <c r="H1252" s="11"/>
      <c r="I1252" s="12">
        <v>2</v>
      </c>
      <c r="J1252" s="12">
        <v>2</v>
      </c>
      <c r="K1252" s="13" t="str">
        <f>HYPERLINK("http://twitter.com/download/android","Twitter for Android")</f>
        <v>Twitter for Android</v>
      </c>
      <c r="L1252" s="12">
        <v>5331</v>
      </c>
      <c r="M1252" s="12">
        <v>5507</v>
      </c>
      <c r="N1252" s="12">
        <v>68</v>
      </c>
      <c r="O1252" s="14"/>
      <c r="P1252" s="6">
        <v>40790.819710648146</v>
      </c>
      <c r="Q1252" s="15" t="s">
        <v>4532</v>
      </c>
      <c r="R1252" s="17" t="s">
        <v>4533</v>
      </c>
      <c r="S1252" s="16" t="s">
        <v>4534</v>
      </c>
      <c r="T1252" s="11"/>
      <c r="U1252" s="10" t="str">
        <f>HYPERLINK("https://pbs.twimg.com/profile_images/1027264607679864834/SKzjLeDj.jpg","View")</f>
        <v>View</v>
      </c>
    </row>
    <row r="1253" spans="1:21" ht="40.799999999999997">
      <c r="A1253" s="6">
        <v>43439.854166666672</v>
      </c>
      <c r="B1253" s="7" t="str">
        <f>HYPERLINK("https://twitter.com/abc_es","@abc_es")</f>
        <v>@abc_es</v>
      </c>
      <c r="C1253" s="24" t="s">
        <v>4535</v>
      </c>
      <c r="D1253" s="9" t="s">
        <v>4536</v>
      </c>
      <c r="E1253" s="10" t="str">
        <f>HYPERLINK("https://twitter.com/abc_es/status/1070399909696860160","1070399909696860160")</f>
        <v>1070399909696860160</v>
      </c>
      <c r="F1253" s="16" t="s">
        <v>4537</v>
      </c>
      <c r="G1253" s="16" t="s">
        <v>4538</v>
      </c>
      <c r="H1253" s="11"/>
      <c r="I1253" s="12">
        <v>118</v>
      </c>
      <c r="J1253" s="12">
        <v>263</v>
      </c>
      <c r="K1253" s="13" t="str">
        <f>HYPERLINK("https://dogtrack.es","DogTrack ABC")</f>
        <v>DogTrack ABC</v>
      </c>
      <c r="L1253" s="12">
        <v>1610204</v>
      </c>
      <c r="M1253" s="12">
        <v>15511</v>
      </c>
      <c r="N1253" s="12">
        <v>17149</v>
      </c>
      <c r="O1253" s="23" t="s">
        <v>89</v>
      </c>
      <c r="P1253" s="6">
        <v>39846.840682870374</v>
      </c>
      <c r="Q1253" s="15" t="s">
        <v>197</v>
      </c>
      <c r="R1253" s="17" t="s">
        <v>4539</v>
      </c>
      <c r="S1253" s="16" t="s">
        <v>4540</v>
      </c>
      <c r="T1253" s="11"/>
      <c r="U1253" s="10" t="str">
        <f>HYPERLINK("https://pbs.twimg.com/profile_images/1053638435309842432/s75OnwdY.jpg","View")</f>
        <v>View</v>
      </c>
    </row>
    <row r="1254" spans="1:21" ht="40.799999999999997">
      <c r="A1254" s="6">
        <v>43439.851469907408</v>
      </c>
      <c r="B1254" s="7" t="str">
        <f>HYPERLINK("https://twitter.com/silvia0907","@silvia0907")</f>
        <v>@silvia0907</v>
      </c>
      <c r="C1254" s="8" t="s">
        <v>4541</v>
      </c>
      <c r="D1254" s="9" t="s">
        <v>4542</v>
      </c>
      <c r="E1254" s="10" t="str">
        <f>HYPERLINK("https://twitter.com/silvia0907/status/1070398931677388801","1070398931677388801")</f>
        <v>1070398931677388801</v>
      </c>
      <c r="F1254" s="11"/>
      <c r="G1254" s="16" t="s">
        <v>4543</v>
      </c>
      <c r="H1254" s="11"/>
      <c r="I1254" s="12">
        <v>24</v>
      </c>
      <c r="J1254" s="12">
        <v>33</v>
      </c>
      <c r="K1254" s="13" t="str">
        <f>HYPERLINK("http://twitter.com/download/android","Twitter for Android")</f>
        <v>Twitter for Android</v>
      </c>
      <c r="L1254" s="12">
        <v>3671</v>
      </c>
      <c r="M1254" s="12">
        <v>63</v>
      </c>
      <c r="N1254" s="12">
        <v>53</v>
      </c>
      <c r="O1254" s="14"/>
      <c r="P1254" s="6">
        <v>41394.656006944446</v>
      </c>
      <c r="Q1254" s="15" t="s">
        <v>612</v>
      </c>
      <c r="R1254" s="17" t="s">
        <v>4544</v>
      </c>
      <c r="S1254" s="11"/>
      <c r="T1254" s="11"/>
      <c r="U1254" s="10" t="str">
        <f>HYPERLINK("https://pbs.twimg.com/profile_images/967044247273791489/I3V7XbPG.jpg","View")</f>
        <v>View</v>
      </c>
    </row>
    <row r="1255" spans="1:21" ht="51">
      <c r="A1255" s="6">
        <v>43439.850300925929</v>
      </c>
      <c r="B1255" s="7" t="str">
        <f>HYPERLINK("https://twitter.com/nafasaro1","@nafasaro1")</f>
        <v>@nafasaro1</v>
      </c>
      <c r="C1255" s="8" t="s">
        <v>4545</v>
      </c>
      <c r="D1255" s="9" t="s">
        <v>4546</v>
      </c>
      <c r="E1255" s="10" t="str">
        <f>HYPERLINK("https://twitter.com/nafasaro1/status/1070398508493168641","1070398508493168641")</f>
        <v>1070398508493168641</v>
      </c>
      <c r="F1255" s="11"/>
      <c r="G1255" s="16" t="s">
        <v>4547</v>
      </c>
      <c r="H1255" s="11"/>
      <c r="I1255" s="12">
        <v>0</v>
      </c>
      <c r="J1255" s="12">
        <v>0</v>
      </c>
      <c r="K1255" s="13" t="str">
        <f>HYPERLINK("http://twitter.com","Twitter Web Client")</f>
        <v>Twitter Web Client</v>
      </c>
      <c r="L1255" s="12">
        <v>610</v>
      </c>
      <c r="M1255" s="12">
        <v>2964</v>
      </c>
      <c r="N1255" s="12">
        <v>18</v>
      </c>
      <c r="O1255" s="14"/>
      <c r="P1255" s="6">
        <v>42293.513032407413</v>
      </c>
      <c r="Q1255" s="15" t="s">
        <v>4548</v>
      </c>
      <c r="R1255" s="17" t="s">
        <v>4549</v>
      </c>
      <c r="S1255" s="11"/>
      <c r="T1255" s="11"/>
      <c r="U1255" s="10" t="str">
        <f>HYPERLINK("https://pbs.twimg.com/profile_images/1070467782066737152/4l9X8r62.jpg","View")</f>
        <v>View</v>
      </c>
    </row>
    <row r="1256" spans="1:21" ht="51">
      <c r="A1256" s="6">
        <v>43439.849803240737</v>
      </c>
      <c r="B1256" s="7" t="str">
        <f>HYPERLINK("https://twitter.com/AngeldelosRios","@AngeldelosRios")</f>
        <v>@AngeldelosRios</v>
      </c>
      <c r="C1256" s="8" t="s">
        <v>4550</v>
      </c>
      <c r="D1256" s="9" t="s">
        <v>4551</v>
      </c>
      <c r="E1256" s="10" t="str">
        <f>HYPERLINK("https://twitter.com/AngeldelosRios/status/1070398329237004290","1070398329237004290")</f>
        <v>1070398329237004290</v>
      </c>
      <c r="F1256" s="16" t="s">
        <v>4552</v>
      </c>
      <c r="G1256" s="11"/>
      <c r="H1256" s="11"/>
      <c r="I1256" s="12">
        <v>1</v>
      </c>
      <c r="J1256" s="12">
        <v>0</v>
      </c>
      <c r="K1256" s="13" t="str">
        <f>HYPERLINK("https://about.twitter.com/products/tweetdeck","TweetDeck")</f>
        <v>TweetDeck</v>
      </c>
      <c r="L1256" s="12">
        <v>5075</v>
      </c>
      <c r="M1256" s="12">
        <v>4635</v>
      </c>
      <c r="N1256" s="12">
        <v>256</v>
      </c>
      <c r="O1256" s="14"/>
      <c r="P1256" s="6">
        <v>40446.800949074073</v>
      </c>
      <c r="Q1256" s="15" t="s">
        <v>709</v>
      </c>
      <c r="R1256" s="17" t="s">
        <v>4553</v>
      </c>
      <c r="S1256" s="16" t="s">
        <v>4554</v>
      </c>
      <c r="T1256" s="11"/>
      <c r="U1256" s="10" t="str">
        <f>HYPERLINK("https://pbs.twimg.com/profile_images/1051801444188340224/ZtpQCYVs.jpg","View")</f>
        <v>View</v>
      </c>
    </row>
    <row r="1257" spans="1:21" ht="102">
      <c r="A1257" s="6">
        <v>43439.849097222221</v>
      </c>
      <c r="B1257" s="7" t="str">
        <f>HYPERLINK("https://twitter.com/DelalunaB","@DelalunaB")</f>
        <v>@DelalunaB</v>
      </c>
      <c r="C1257" s="8" t="s">
        <v>4555</v>
      </c>
      <c r="D1257" s="9" t="s">
        <v>4556</v>
      </c>
      <c r="E1257" s="10" t="str">
        <f>HYPERLINK("https://twitter.com/DelalunaB/status/1070398074164559872","1070398074164559872")</f>
        <v>1070398074164559872</v>
      </c>
      <c r="F1257" s="16" t="s">
        <v>4557</v>
      </c>
      <c r="G1257" s="16" t="s">
        <v>4558</v>
      </c>
      <c r="H1257" s="11"/>
      <c r="I1257" s="12">
        <v>7</v>
      </c>
      <c r="J1257" s="12">
        <v>2</v>
      </c>
      <c r="K1257" s="13" t="str">
        <f>HYPERLINK("http://twitter.com/#!/download/ipad","Twitter for iPad")</f>
        <v>Twitter for iPad</v>
      </c>
      <c r="L1257" s="12">
        <v>3</v>
      </c>
      <c r="M1257" s="12">
        <v>86</v>
      </c>
      <c r="N1257" s="12">
        <v>0</v>
      </c>
      <c r="O1257" s="14"/>
      <c r="P1257" s="6">
        <v>42430.881469907406</v>
      </c>
      <c r="Q1257" s="11"/>
      <c r="R1257" s="18"/>
      <c r="S1257" s="11"/>
      <c r="T1257" s="11"/>
      <c r="U1257" s="10" t="str">
        <f>HYPERLINK("https://pbs.twimg.com/profile_images/704761811334201348/h2s-5nj6.jpg","View")</f>
        <v>View</v>
      </c>
    </row>
    <row r="1258" spans="1:21" ht="40.799999999999997">
      <c r="A1258" s="6">
        <v>43439.849062499998</v>
      </c>
      <c r="B1258" s="7" t="str">
        <f>HYPERLINK("https://twitter.com/PepeWilliamMunn","@PepeWilliamMunn")</f>
        <v>@PepeWilliamMunn</v>
      </c>
      <c r="C1258" s="8" t="s">
        <v>1218</v>
      </c>
      <c r="D1258" s="9" t="s">
        <v>4559</v>
      </c>
      <c r="E1258" s="10" t="str">
        <f>HYPERLINK("https://twitter.com/PepeWilliamMunn/status/1070398062307225600","1070398062307225600")</f>
        <v>1070398062307225600</v>
      </c>
      <c r="F1258" s="11"/>
      <c r="G1258" s="11"/>
      <c r="H1258" s="11"/>
      <c r="I1258" s="12">
        <v>0</v>
      </c>
      <c r="J1258" s="12">
        <v>0</v>
      </c>
      <c r="K1258" s="13" t="str">
        <f>HYPERLINK("http://twitter.com","Twitter Web Client")</f>
        <v>Twitter Web Client</v>
      </c>
      <c r="L1258" s="12">
        <v>4142</v>
      </c>
      <c r="M1258" s="12">
        <v>4006</v>
      </c>
      <c r="N1258" s="12">
        <v>52</v>
      </c>
      <c r="O1258" s="14"/>
      <c r="P1258" s="6">
        <v>40870.462893518517</v>
      </c>
      <c r="Q1258" s="15" t="s">
        <v>197</v>
      </c>
      <c r="R1258" s="17" t="s">
        <v>1221</v>
      </c>
      <c r="S1258" s="16" t="s">
        <v>1222</v>
      </c>
      <c r="T1258" s="11"/>
      <c r="U1258" s="10" t="str">
        <f>HYPERLINK("https://pbs.twimg.com/profile_images/2870078327/2112ed271f1263253afafb4fb04f9722.jpeg","View")</f>
        <v>View</v>
      </c>
    </row>
    <row r="1259" spans="1:21" ht="30.6">
      <c r="A1259" s="6">
        <v>43439.846875000003</v>
      </c>
      <c r="B1259" s="7" t="str">
        <f>HYPERLINK("https://twitter.com/Eastweck","@Eastweck")</f>
        <v>@Eastweck</v>
      </c>
      <c r="C1259" s="8" t="s">
        <v>4560</v>
      </c>
      <c r="D1259" s="9" t="s">
        <v>4561</v>
      </c>
      <c r="E1259" s="10" t="str">
        <f>HYPERLINK("https://twitter.com/Eastweck/status/1070397268782661632","1070397268782661632")</f>
        <v>1070397268782661632</v>
      </c>
      <c r="F1259" s="16" t="s">
        <v>4562</v>
      </c>
      <c r="G1259" s="11"/>
      <c r="H1259" s="11"/>
      <c r="I1259" s="12">
        <v>0</v>
      </c>
      <c r="J1259" s="12">
        <v>0</v>
      </c>
      <c r="K1259" s="13" t="str">
        <f>HYPERLINK("http://twitter.com/download/android","Twitter for Android")</f>
        <v>Twitter for Android</v>
      </c>
      <c r="L1259" s="12">
        <v>330</v>
      </c>
      <c r="M1259" s="12">
        <v>603</v>
      </c>
      <c r="N1259" s="12">
        <v>0</v>
      </c>
      <c r="O1259" s="14"/>
      <c r="P1259" s="6">
        <v>41543.766562500001</v>
      </c>
      <c r="Q1259" s="11"/>
      <c r="R1259" s="17" t="s">
        <v>4563</v>
      </c>
      <c r="S1259" s="11"/>
      <c r="T1259" s="11"/>
      <c r="U1259" s="10" t="str">
        <f>HYPERLINK("https://pbs.twimg.com/profile_images/1034117481089122306/HCpteLgV.jpg","View")</f>
        <v>View</v>
      </c>
    </row>
    <row r="1260" spans="1:21" ht="13.2">
      <c r="A1260" s="6">
        <v>43439.845706018517</v>
      </c>
      <c r="B1260" s="7" t="str">
        <f>HYPERLINK("https://twitter.com/thefreewheelin_","@thefreewheelin_")</f>
        <v>@thefreewheelin_</v>
      </c>
      <c r="C1260" s="8" t="s">
        <v>4564</v>
      </c>
      <c r="D1260" s="9" t="s">
        <v>4565</v>
      </c>
      <c r="E1260" s="10" t="str">
        <f>HYPERLINK("https://twitter.com/thefreewheelin_/status/1070396842930778115","1070396842930778115")</f>
        <v>1070396842930778115</v>
      </c>
      <c r="F1260" s="11"/>
      <c r="G1260" s="11"/>
      <c r="H1260" s="11"/>
      <c r="I1260" s="12">
        <v>0</v>
      </c>
      <c r="J1260" s="12">
        <v>3</v>
      </c>
      <c r="K1260" s="13" t="str">
        <f>HYPERLINK("https://mobile.twitter.com","Twitter Lite")</f>
        <v>Twitter Lite</v>
      </c>
      <c r="L1260" s="12">
        <v>185</v>
      </c>
      <c r="M1260" s="12">
        <v>719</v>
      </c>
      <c r="N1260" s="12">
        <v>0</v>
      </c>
      <c r="O1260" s="14"/>
      <c r="P1260" s="6">
        <v>42969.103414351848</v>
      </c>
      <c r="Q1260" s="11"/>
      <c r="R1260" s="17" t="s">
        <v>4566</v>
      </c>
      <c r="S1260" s="16" t="s">
        <v>4567</v>
      </c>
      <c r="T1260" s="11"/>
      <c r="U1260" s="10" t="str">
        <f>HYPERLINK("https://pbs.twimg.com/profile_images/1066090322927788032/NTXc4bqb.jpg","View")</f>
        <v>View</v>
      </c>
    </row>
    <row r="1261" spans="1:21" ht="40.799999999999997">
      <c r="A1261" s="6">
        <v>43439.845127314809</v>
      </c>
      <c r="B1261" s="7" t="str">
        <f>HYPERLINK("https://twitter.com/PepeWilliamMunn","@PepeWilliamMunn")</f>
        <v>@PepeWilliamMunn</v>
      </c>
      <c r="C1261" s="8" t="s">
        <v>1218</v>
      </c>
      <c r="D1261" s="9" t="s">
        <v>4568</v>
      </c>
      <c r="E1261" s="10" t="str">
        <f>HYPERLINK("https://twitter.com/PepeWilliamMunn/status/1070396634327076865","1070396634327076865")</f>
        <v>1070396634327076865</v>
      </c>
      <c r="F1261" s="11"/>
      <c r="G1261" s="11"/>
      <c r="H1261" s="11"/>
      <c r="I1261" s="12">
        <v>3</v>
      </c>
      <c r="J1261" s="12">
        <v>4</v>
      </c>
      <c r="K1261" s="13" t="str">
        <f>HYPERLINK("http://twitter.com","Twitter Web Client")</f>
        <v>Twitter Web Client</v>
      </c>
      <c r="L1261" s="12">
        <v>4142</v>
      </c>
      <c r="M1261" s="12">
        <v>4006</v>
      </c>
      <c r="N1261" s="12">
        <v>52</v>
      </c>
      <c r="O1261" s="14"/>
      <c r="P1261" s="6">
        <v>40870.462893518517</v>
      </c>
      <c r="Q1261" s="15" t="s">
        <v>197</v>
      </c>
      <c r="R1261" s="17" t="s">
        <v>1221</v>
      </c>
      <c r="S1261" s="16" t="s">
        <v>1222</v>
      </c>
      <c r="T1261" s="11"/>
      <c r="U1261" s="10" t="str">
        <f>HYPERLINK("https://pbs.twimg.com/profile_images/2870078327/2112ed271f1263253afafb4fb04f9722.jpeg","View")</f>
        <v>View</v>
      </c>
    </row>
    <row r="1262" spans="1:21" ht="51">
      <c r="A1262" s="6">
        <v>43439.843877314815</v>
      </c>
      <c r="B1262" s="7" t="str">
        <f>HYPERLINK("https://twitter.com/AdelanteEspana","@AdelanteEspana")</f>
        <v>@AdelanteEspana</v>
      </c>
      <c r="C1262" s="8" t="s">
        <v>4569</v>
      </c>
      <c r="D1262" s="9" t="s">
        <v>4570</v>
      </c>
      <c r="E1262" s="10" t="str">
        <f>HYPERLINK("https://twitter.com/AdelanteEspana/status/1070396181442912256","1070396181442912256")</f>
        <v>1070396181442912256</v>
      </c>
      <c r="F1262" s="11"/>
      <c r="G1262" s="11"/>
      <c r="H1262" s="11"/>
      <c r="I1262" s="12">
        <v>2</v>
      </c>
      <c r="J1262" s="12">
        <v>4</v>
      </c>
      <c r="K1262" s="13" t="str">
        <f t="shared" ref="K1262:K1263" si="289">HYPERLINK("http://twitter.com/download/android","Twitter for Android")</f>
        <v>Twitter for Android</v>
      </c>
      <c r="L1262" s="12">
        <v>304</v>
      </c>
      <c r="M1262" s="12">
        <v>102</v>
      </c>
      <c r="N1262" s="12">
        <v>1</v>
      </c>
      <c r="O1262" s="14"/>
      <c r="P1262" s="6">
        <v>43421.920532407406</v>
      </c>
      <c r="Q1262" s="11"/>
      <c r="R1262" s="17" t="s">
        <v>4571</v>
      </c>
      <c r="S1262" s="11"/>
      <c r="T1262" s="11"/>
      <c r="U1262" s="10" t="str">
        <f>HYPERLINK("https://pbs.twimg.com/profile_images/1063903604292100099/BorCyI74.jpg","View")</f>
        <v>View</v>
      </c>
    </row>
    <row r="1263" spans="1:21" ht="40.799999999999997">
      <c r="A1263" s="6">
        <v>43439.842870370368</v>
      </c>
      <c r="B1263" s="7" t="str">
        <f>HYPERLINK("https://twitter.com/mcyava","@mcyava")</f>
        <v>@mcyava</v>
      </c>
      <c r="C1263" s="8" t="s">
        <v>4572</v>
      </c>
      <c r="D1263" s="9" t="s">
        <v>4573</v>
      </c>
      <c r="E1263" s="10" t="str">
        <f>HYPERLINK("https://twitter.com/mcyava/status/1070395818816008192","1070395818816008192")</f>
        <v>1070395818816008192</v>
      </c>
      <c r="F1263" s="16" t="s">
        <v>4574</v>
      </c>
      <c r="G1263" s="11"/>
      <c r="H1263" s="11"/>
      <c r="I1263" s="12">
        <v>30</v>
      </c>
      <c r="J1263" s="12">
        <v>27</v>
      </c>
      <c r="K1263" s="13" t="str">
        <f t="shared" si="289"/>
        <v>Twitter for Android</v>
      </c>
      <c r="L1263" s="12">
        <v>16630</v>
      </c>
      <c r="M1263" s="12">
        <v>12849</v>
      </c>
      <c r="N1263" s="12">
        <v>90</v>
      </c>
      <c r="O1263" s="14"/>
      <c r="P1263" s="6">
        <v>40819.440150462964</v>
      </c>
      <c r="Q1263" s="15" t="s">
        <v>197</v>
      </c>
      <c r="R1263" s="17" t="s">
        <v>4575</v>
      </c>
      <c r="S1263" s="11"/>
      <c r="T1263" s="11"/>
      <c r="U1263" s="10" t="str">
        <f>HYPERLINK("https://pbs.twimg.com/profile_images/957202578210738176/msS95mss.jpg","View")</f>
        <v>View</v>
      </c>
    </row>
    <row r="1264" spans="1:21" ht="20.399999999999999">
      <c r="A1264" s="6">
        <v>43439.842499999999</v>
      </c>
      <c r="B1264" s="7" t="str">
        <f>HYPERLINK("https://twitter.com/rocioperezdeaya","@rocioperezdeaya")</f>
        <v>@rocioperezdeaya</v>
      </c>
      <c r="C1264" s="8" t="s">
        <v>2877</v>
      </c>
      <c r="D1264" s="9" t="s">
        <v>4576</v>
      </c>
      <c r="E1264" s="10" t="str">
        <f>HYPERLINK("https://twitter.com/rocioperezdeaya/status/1070395683440594945","1070395683440594945")</f>
        <v>1070395683440594945</v>
      </c>
      <c r="F1264" s="16" t="s">
        <v>4577</v>
      </c>
      <c r="G1264" s="11"/>
      <c r="H1264" s="11"/>
      <c r="I1264" s="12">
        <v>0</v>
      </c>
      <c r="J1264" s="12">
        <v>0</v>
      </c>
      <c r="K1264" s="13" t="str">
        <f>HYPERLINK("http://twitter.com/download/iphone","Twitter for iPhone")</f>
        <v>Twitter for iPhone</v>
      </c>
      <c r="L1264" s="12">
        <v>154</v>
      </c>
      <c r="M1264" s="12">
        <v>289</v>
      </c>
      <c r="N1264" s="12">
        <v>0</v>
      </c>
      <c r="O1264" s="14"/>
      <c r="P1264" s="6">
        <v>40265.710532407407</v>
      </c>
      <c r="Q1264" s="15" t="s">
        <v>2880</v>
      </c>
      <c r="R1264" s="18"/>
      <c r="S1264" s="11"/>
      <c r="T1264" s="11"/>
      <c r="U1264" s="10" t="str">
        <f>HYPERLINK("https://pbs.twimg.com/profile_images/685208043605352450/bD2ztUI-.jpg","View")</f>
        <v>View</v>
      </c>
    </row>
    <row r="1265" spans="1:21" ht="61.2">
      <c r="A1265" s="6">
        <v>43439.84097222222</v>
      </c>
      <c r="B1265" s="7" t="str">
        <f>HYPERLINK("https://twitter.com/JesusLopez010","@JesusLopez010")</f>
        <v>@JesusLopez010</v>
      </c>
      <c r="C1265" s="8" t="s">
        <v>4578</v>
      </c>
      <c r="D1265" s="9" t="s">
        <v>4579</v>
      </c>
      <c r="E1265" s="10" t="str">
        <f>HYPERLINK("https://twitter.com/JesusLopez010/status/1070395127435280384","1070395127435280384")</f>
        <v>1070395127435280384</v>
      </c>
      <c r="F1265" s="11"/>
      <c r="G1265" s="11"/>
      <c r="H1265" s="11"/>
      <c r="I1265" s="12">
        <v>0</v>
      </c>
      <c r="J1265" s="12">
        <v>0</v>
      </c>
      <c r="K1265" s="13" t="str">
        <f>HYPERLINK("http://twitter.com/download/android","Twitter for Android")</f>
        <v>Twitter for Android</v>
      </c>
      <c r="L1265" s="12">
        <v>138</v>
      </c>
      <c r="M1265" s="12">
        <v>634</v>
      </c>
      <c r="N1265" s="12">
        <v>1</v>
      </c>
      <c r="O1265" s="14"/>
      <c r="P1265" s="6">
        <v>40405.070868055554</v>
      </c>
      <c r="Q1265" s="11"/>
      <c r="R1265" s="17" t="s">
        <v>4580</v>
      </c>
      <c r="S1265" s="11"/>
      <c r="T1265" s="11"/>
      <c r="U1265" s="10" t="str">
        <f>HYPERLINK("https://pbs.twimg.com/profile_images/480660534593724417/_RP6XcJR.jpeg","View")</f>
        <v>View</v>
      </c>
    </row>
    <row r="1266" spans="1:21" ht="30.6">
      <c r="A1266" s="6">
        <v>43439.840127314819</v>
      </c>
      <c r="B1266" s="7" t="str">
        <f>HYPERLINK("https://twitter.com/_NachoRual","@_NachoRual")</f>
        <v>@_NachoRual</v>
      </c>
      <c r="C1266" s="8" t="s">
        <v>4581</v>
      </c>
      <c r="D1266" s="9" t="s">
        <v>4582</v>
      </c>
      <c r="E1266" s="10" t="str">
        <f>HYPERLINK("https://twitter.com/_NachoRual/status/1070394823046299659","1070394823046299659")</f>
        <v>1070394823046299659</v>
      </c>
      <c r="F1266" s="16" t="s">
        <v>4583</v>
      </c>
      <c r="G1266" s="11"/>
      <c r="H1266" s="11"/>
      <c r="I1266" s="12">
        <v>0</v>
      </c>
      <c r="J1266" s="12">
        <v>0</v>
      </c>
      <c r="K1266" s="13" t="str">
        <f t="shared" ref="K1266:K1267" si="290">HYPERLINK("http://twitter.com/download/iphone","Twitter for iPhone")</f>
        <v>Twitter for iPhone</v>
      </c>
      <c r="L1266" s="12">
        <v>126</v>
      </c>
      <c r="M1266" s="12">
        <v>463</v>
      </c>
      <c r="N1266" s="12">
        <v>0</v>
      </c>
      <c r="O1266" s="14"/>
      <c r="P1266" s="6">
        <v>40413.627592592595</v>
      </c>
      <c r="Q1266" s="15" t="s">
        <v>612</v>
      </c>
      <c r="R1266" s="17" t="s">
        <v>4584</v>
      </c>
      <c r="S1266" s="11"/>
      <c r="T1266" s="11"/>
      <c r="U1266" s="10" t="str">
        <f>HYPERLINK("https://pbs.twimg.com/profile_images/1069501058903359488/GA6eLbkn.jpg","View")</f>
        <v>View</v>
      </c>
    </row>
    <row r="1267" spans="1:21" ht="51">
      <c r="A1267" s="6">
        <v>43439.838506944448</v>
      </c>
      <c r="B1267" s="7" t="str">
        <f>HYPERLINK("https://twitter.com/Flamemkito2","@Flamemkito2")</f>
        <v>@Flamemkito2</v>
      </c>
      <c r="C1267" s="8" t="s">
        <v>4585</v>
      </c>
      <c r="D1267" s="9" t="s">
        <v>4586</v>
      </c>
      <c r="E1267" s="10" t="str">
        <f>HYPERLINK("https://twitter.com/Flamemkito2/status/1070394235650744321","1070394235650744321")</f>
        <v>1070394235650744321</v>
      </c>
      <c r="F1267" s="11"/>
      <c r="G1267" s="11"/>
      <c r="H1267" s="11"/>
      <c r="I1267" s="12">
        <v>0</v>
      </c>
      <c r="J1267" s="12">
        <v>1</v>
      </c>
      <c r="K1267" s="13" t="str">
        <f t="shared" si="290"/>
        <v>Twitter for iPhone</v>
      </c>
      <c r="L1267" s="12">
        <v>28</v>
      </c>
      <c r="M1267" s="12">
        <v>88</v>
      </c>
      <c r="N1267" s="12">
        <v>1</v>
      </c>
      <c r="O1267" s="14"/>
      <c r="P1267" s="6">
        <v>42915.983680555553</v>
      </c>
      <c r="Q1267" s="11"/>
      <c r="R1267" s="18"/>
      <c r="S1267" s="11"/>
      <c r="T1267" s="11"/>
      <c r="U1267" s="10" t="str">
        <f>HYPERLINK("https://pbs.twimg.com/profile_images/1032760908324454400/GW8S1Nl-.jpg","View")</f>
        <v>View</v>
      </c>
    </row>
    <row r="1268" spans="1:21" ht="51">
      <c r="A1268" s="6">
        <v>43439.838090277779</v>
      </c>
      <c r="B1268" s="7" t="str">
        <f>HYPERLINK("https://twitter.com/septimio_severo","@septimio_severo")</f>
        <v>@septimio_severo</v>
      </c>
      <c r="C1268" s="8" t="s">
        <v>4587</v>
      </c>
      <c r="D1268" s="9" t="s">
        <v>4588</v>
      </c>
      <c r="E1268" s="10" t="str">
        <f>HYPERLINK("https://twitter.com/septimio_severo/status/1070394086883016704","1070394086883016704")</f>
        <v>1070394086883016704</v>
      </c>
      <c r="F1268" s="16" t="s">
        <v>4589</v>
      </c>
      <c r="G1268" s="11"/>
      <c r="H1268" s="11"/>
      <c r="I1268" s="12">
        <v>0</v>
      </c>
      <c r="J1268" s="12">
        <v>0</v>
      </c>
      <c r="K1268" s="13" t="str">
        <f>HYPERLINK("http://twitter.com/download/android","Twitter for Android")</f>
        <v>Twitter for Android</v>
      </c>
      <c r="L1268" s="12">
        <v>599</v>
      </c>
      <c r="M1268" s="12">
        <v>351</v>
      </c>
      <c r="N1268" s="12">
        <v>10</v>
      </c>
      <c r="O1268" s="14"/>
      <c r="P1268" s="6">
        <v>40348.000416666662</v>
      </c>
      <c r="Q1268" s="15" t="s">
        <v>612</v>
      </c>
      <c r="R1268" s="17" t="s">
        <v>4590</v>
      </c>
      <c r="S1268" s="11"/>
      <c r="T1268" s="11"/>
      <c r="U1268" s="10" t="str">
        <f>HYPERLINK("https://pbs.twimg.com/profile_images/718910012878364672/8SzhvpVN.jpg","View")</f>
        <v>View</v>
      </c>
    </row>
    <row r="1269" spans="1:21" ht="40.799999999999997">
      <c r="A1269" s="6">
        <v>43439.837777777779</v>
      </c>
      <c r="B1269" s="7" t="str">
        <f>HYPERLINK("https://twitter.com/CasoAislado_Es","@CasoAislado_Es")</f>
        <v>@CasoAislado_Es</v>
      </c>
      <c r="C1269" s="8" t="s">
        <v>951</v>
      </c>
      <c r="D1269" s="9" t="s">
        <v>4591</v>
      </c>
      <c r="E1269" s="10" t="str">
        <f>HYPERLINK("https://twitter.com/CasoAislado_Es/status/1070393973246709761","1070393973246709761")</f>
        <v>1070393973246709761</v>
      </c>
      <c r="F1269" s="11"/>
      <c r="G1269" s="16" t="s">
        <v>4592</v>
      </c>
      <c r="H1269" s="11"/>
      <c r="I1269" s="12">
        <v>57</v>
      </c>
      <c r="J1269" s="12">
        <v>75</v>
      </c>
      <c r="K1269" s="13" t="str">
        <f t="shared" ref="K1269:K1270" si="291">HYPERLINK("http://twitter.com","Twitter Web Client")</f>
        <v>Twitter Web Client</v>
      </c>
      <c r="L1269" s="12">
        <v>21476</v>
      </c>
      <c r="M1269" s="12">
        <v>6353</v>
      </c>
      <c r="N1269" s="12">
        <v>153</v>
      </c>
      <c r="O1269" s="14"/>
      <c r="P1269" s="6">
        <v>40257.560439814813</v>
      </c>
      <c r="Q1269" s="15" t="s">
        <v>954</v>
      </c>
      <c r="R1269" s="17" t="s">
        <v>955</v>
      </c>
      <c r="S1269" s="16" t="s">
        <v>956</v>
      </c>
      <c r="T1269" s="11"/>
      <c r="U1269" s="10" t="str">
        <f>HYPERLINK("https://pbs.twimg.com/profile_images/818503412702707713/QK1J8CEn.jpg","View")</f>
        <v>View</v>
      </c>
    </row>
    <row r="1270" spans="1:21" ht="51">
      <c r="A1270" s="6">
        <v>43439.83694444444</v>
      </c>
      <c r="B1270" s="7" t="str">
        <f>HYPERLINK("https://twitter.com/santiagonavajas","@santiagonavajas")</f>
        <v>@santiagonavajas</v>
      </c>
      <c r="C1270" s="8" t="s">
        <v>4593</v>
      </c>
      <c r="D1270" s="9" t="s">
        <v>4594</v>
      </c>
      <c r="E1270" s="10" t="str">
        <f>HYPERLINK("https://twitter.com/santiagonavajas/status/1070393669025439750","1070393669025439750")</f>
        <v>1070393669025439750</v>
      </c>
      <c r="F1270" s="15" t="s">
        <v>4595</v>
      </c>
      <c r="G1270" s="16" t="s">
        <v>4596</v>
      </c>
      <c r="H1270" s="11"/>
      <c r="I1270" s="12">
        <v>9</v>
      </c>
      <c r="J1270" s="12">
        <v>7</v>
      </c>
      <c r="K1270" s="13" t="str">
        <f t="shared" si="291"/>
        <v>Twitter Web Client</v>
      </c>
      <c r="L1270" s="12">
        <v>7837</v>
      </c>
      <c r="M1270" s="12">
        <v>1040</v>
      </c>
      <c r="N1270" s="12">
        <v>264</v>
      </c>
      <c r="O1270" s="14"/>
      <c r="P1270" s="6">
        <v>39756.594224537039</v>
      </c>
      <c r="Q1270" s="15" t="s">
        <v>618</v>
      </c>
      <c r="R1270" s="17" t="s">
        <v>4597</v>
      </c>
      <c r="S1270" s="16" t="s">
        <v>4598</v>
      </c>
      <c r="T1270" s="11"/>
      <c r="U1270" s="10" t="str">
        <f>HYPERLINK("https://pbs.twimg.com/profile_images/1033680938335694848/_BDOcio_.jpg","View")</f>
        <v>View</v>
      </c>
    </row>
    <row r="1271" spans="1:21" ht="51">
      <c r="A1271" s="6">
        <v>43439.836689814816</v>
      </c>
      <c r="B1271" s="7" t="str">
        <f>HYPERLINK("https://twitter.com/vox_es","@vox_es")</f>
        <v>@vox_es</v>
      </c>
      <c r="C1271" s="8" t="s">
        <v>3230</v>
      </c>
      <c r="D1271" s="9" t="s">
        <v>4599</v>
      </c>
      <c r="E1271" s="10" t="str">
        <f>HYPERLINK("https://twitter.com/vox_es/status/1070393579317673992","1070393579317673992")</f>
        <v>1070393579317673992</v>
      </c>
      <c r="F1271" s="11"/>
      <c r="G1271" s="16" t="s">
        <v>2855</v>
      </c>
      <c r="H1271" s="11"/>
      <c r="I1271" s="12">
        <v>2742</v>
      </c>
      <c r="J1271" s="12">
        <v>5338</v>
      </c>
      <c r="K1271" s="13" t="str">
        <f>HYPERLINK("https://ads.twitter.com","Twitter Ads")</f>
        <v>Twitter Ads</v>
      </c>
      <c r="L1271" s="12">
        <v>147920</v>
      </c>
      <c r="M1271" s="12">
        <v>937</v>
      </c>
      <c r="N1271" s="12">
        <v>988</v>
      </c>
      <c r="O1271" s="23" t="s">
        <v>89</v>
      </c>
      <c r="P1271" s="6">
        <v>41596.746655092589</v>
      </c>
      <c r="Q1271" s="11"/>
      <c r="R1271" s="17" t="s">
        <v>3232</v>
      </c>
      <c r="S1271" s="16" t="s">
        <v>1740</v>
      </c>
      <c r="T1271" s="11"/>
      <c r="U1271" s="10" t="str">
        <f>HYPERLINK("https://pbs.twimg.com/profile_images/1016653788617363456/m3b3jqW5.jpg","View")</f>
        <v>View</v>
      </c>
    </row>
    <row r="1272" spans="1:21" ht="40.799999999999997">
      <c r="A1272" s="6">
        <v>43439.834421296298</v>
      </c>
      <c r="B1272" s="7" t="str">
        <f>HYPERLINK("https://twitter.com/joselozanom","@joselozanom")</f>
        <v>@joselozanom</v>
      </c>
      <c r="C1272" s="8" t="s">
        <v>4600</v>
      </c>
      <c r="D1272" s="9" t="s">
        <v>4601</v>
      </c>
      <c r="E1272" s="10" t="str">
        <f>HYPERLINK("https://twitter.com/joselozanom/status/1070392755569000450","1070392755569000450")</f>
        <v>1070392755569000450</v>
      </c>
      <c r="F1272" s="11"/>
      <c r="G1272" s="16" t="s">
        <v>4602</v>
      </c>
      <c r="H1272" s="11"/>
      <c r="I1272" s="12">
        <v>1</v>
      </c>
      <c r="J1272" s="12">
        <v>1</v>
      </c>
      <c r="K1272" s="13" t="str">
        <f>HYPERLINK("http://twitter.com/download/android","Twitter for Android")</f>
        <v>Twitter for Android</v>
      </c>
      <c r="L1272" s="12">
        <v>1237</v>
      </c>
      <c r="M1272" s="12">
        <v>986</v>
      </c>
      <c r="N1272" s="12">
        <v>21</v>
      </c>
      <c r="O1272" s="14"/>
      <c r="P1272" s="6">
        <v>40811.71638888889</v>
      </c>
      <c r="Q1272" s="11"/>
      <c r="R1272" s="17" t="s">
        <v>4603</v>
      </c>
      <c r="S1272" s="11"/>
      <c r="T1272" s="11"/>
      <c r="U1272" s="10" t="str">
        <f>HYPERLINK("https://pbs.twimg.com/profile_images/2907360747/25499c5281d05e2a374b9a30edb0af30.jpeg","View")</f>
        <v>View</v>
      </c>
    </row>
    <row r="1273" spans="1:21" ht="40.799999999999997">
      <c r="A1273" s="6">
        <v>43439.834131944444</v>
      </c>
      <c r="B1273" s="7" t="str">
        <f>HYPERLINK("https://twitter.com/SrFizzwidget","@SrFizzwidget")</f>
        <v>@SrFizzwidget</v>
      </c>
      <c r="C1273" s="8" t="s">
        <v>4604</v>
      </c>
      <c r="D1273" s="9" t="s">
        <v>4605</v>
      </c>
      <c r="E1273" s="10" t="str">
        <f>HYPERLINK("https://twitter.com/SrFizzwidget/status/1070392652233871360","1070392652233871360")</f>
        <v>1070392652233871360</v>
      </c>
      <c r="F1273" s="11"/>
      <c r="G1273" s="11"/>
      <c r="H1273" s="11"/>
      <c r="I1273" s="12">
        <v>0</v>
      </c>
      <c r="J1273" s="12">
        <v>0</v>
      </c>
      <c r="K1273" s="13" t="str">
        <f>HYPERLINK("http://twitter.com/download/iphone","Twitter for iPhone")</f>
        <v>Twitter for iPhone</v>
      </c>
      <c r="L1273" s="12">
        <v>278</v>
      </c>
      <c r="M1273" s="12">
        <v>1825</v>
      </c>
      <c r="N1273" s="12">
        <v>3</v>
      </c>
      <c r="O1273" s="14"/>
      <c r="P1273" s="6">
        <v>41919.891215277778</v>
      </c>
      <c r="Q1273" s="15" t="s">
        <v>4606</v>
      </c>
      <c r="R1273" s="17" t="s">
        <v>4607</v>
      </c>
      <c r="S1273" s="11"/>
      <c r="T1273" s="11"/>
      <c r="U1273" s="10" t="str">
        <f>HYPERLINK("https://pbs.twimg.com/profile_images/999052987199713280/vBX-O_A3.jpg","View")</f>
        <v>View</v>
      </c>
    </row>
    <row r="1274" spans="1:21" ht="51">
      <c r="A1274" s="6">
        <v>43439.834027777775</v>
      </c>
      <c r="B1274" s="7" t="str">
        <f>HYPERLINK("https://twitter.com/bitMomentum","@bitMomentum")</f>
        <v>@bitMomentum</v>
      </c>
      <c r="C1274" s="8" t="s">
        <v>82</v>
      </c>
      <c r="D1274" s="9" t="s">
        <v>4608</v>
      </c>
      <c r="E1274" s="10" t="str">
        <f>HYPERLINK("https://twitter.com/bitMomentum/status/1070392611565961216","1070392611565961216")</f>
        <v>1070392611565961216</v>
      </c>
      <c r="F1274" s="11"/>
      <c r="G1274" s="11"/>
      <c r="H1274" s="11"/>
      <c r="I1274" s="12">
        <v>0</v>
      </c>
      <c r="J1274" s="12">
        <v>1</v>
      </c>
      <c r="K1274" s="13" t="str">
        <f>HYPERLINK("http://www.bitmomentum.com","bitMomentum Bot")</f>
        <v>bitMomentum Bot</v>
      </c>
      <c r="L1274" s="12">
        <v>10253</v>
      </c>
      <c r="M1274" s="12">
        <v>1059</v>
      </c>
      <c r="N1274" s="12">
        <v>263</v>
      </c>
      <c r="O1274" s="14"/>
      <c r="P1274" s="6">
        <v>41608.667511574073</v>
      </c>
      <c r="Q1274" s="11"/>
      <c r="R1274" s="17" t="s">
        <v>84</v>
      </c>
      <c r="S1274" s="16" t="s">
        <v>85</v>
      </c>
      <c r="T1274" s="11"/>
      <c r="U1274" s="10" t="str">
        <f>HYPERLINK("https://pbs.twimg.com/profile_images/378800000862185241/20ij2H3u.png","View")</f>
        <v>View</v>
      </c>
    </row>
    <row r="1275" spans="1:21" ht="40.799999999999997">
      <c r="A1275" s="6">
        <v>43439.832002314812</v>
      </c>
      <c r="B1275" s="7" t="str">
        <f>HYPERLINK("https://twitter.com/potisbar","@potisbar")</f>
        <v>@potisbar</v>
      </c>
      <c r="C1275" s="8" t="s">
        <v>4609</v>
      </c>
      <c r="D1275" s="9" t="s">
        <v>4610</v>
      </c>
      <c r="E1275" s="10" t="str">
        <f>HYPERLINK("https://twitter.com/potisbar/status/1070391880146436096","1070391880146436096")</f>
        <v>1070391880146436096</v>
      </c>
      <c r="F1275" s="11"/>
      <c r="G1275" s="11"/>
      <c r="H1275" s="11"/>
      <c r="I1275" s="12">
        <v>0</v>
      </c>
      <c r="J1275" s="12">
        <v>0</v>
      </c>
      <c r="K1275" s="13" t="str">
        <f t="shared" ref="K1275:K1277" si="292">HYPERLINK("http://twitter.com/download/android","Twitter for Android")</f>
        <v>Twitter for Android</v>
      </c>
      <c r="L1275" s="12">
        <v>418</v>
      </c>
      <c r="M1275" s="12">
        <v>712</v>
      </c>
      <c r="N1275" s="12">
        <v>5</v>
      </c>
      <c r="O1275" s="14"/>
      <c r="P1275" s="6">
        <v>41050.552534722221</v>
      </c>
      <c r="Q1275" s="15" t="s">
        <v>4611</v>
      </c>
      <c r="R1275" s="17" t="s">
        <v>4612</v>
      </c>
      <c r="S1275" s="11"/>
      <c r="T1275" s="11"/>
      <c r="U1275" s="10" t="str">
        <f>HYPERLINK("https://pbs.twimg.com/profile_images/1060249790523551753/nwfL2Juz.jpg","View")</f>
        <v>View</v>
      </c>
    </row>
    <row r="1276" spans="1:21" ht="30.6">
      <c r="A1276" s="6">
        <v>43439.831793981481</v>
      </c>
      <c r="B1276" s="7" t="str">
        <f>HYPERLINK("https://twitter.com/carl0x_","@carl0x_")</f>
        <v>@carl0x_</v>
      </c>
      <c r="C1276" s="8" t="s">
        <v>4613</v>
      </c>
      <c r="D1276" s="9" t="s">
        <v>4614</v>
      </c>
      <c r="E1276" s="10" t="str">
        <f>HYPERLINK("https://twitter.com/carl0x_/status/1070391805370384384","1070391805370384384")</f>
        <v>1070391805370384384</v>
      </c>
      <c r="F1276" s="16" t="s">
        <v>4615</v>
      </c>
      <c r="G1276" s="11"/>
      <c r="H1276" s="11"/>
      <c r="I1276" s="12">
        <v>0</v>
      </c>
      <c r="J1276" s="12">
        <v>0</v>
      </c>
      <c r="K1276" s="13" t="str">
        <f t="shared" si="292"/>
        <v>Twitter for Android</v>
      </c>
      <c r="L1276" s="12">
        <v>103</v>
      </c>
      <c r="M1276" s="12">
        <v>324</v>
      </c>
      <c r="N1276" s="12">
        <v>1</v>
      </c>
      <c r="O1276" s="14"/>
      <c r="P1276" s="6">
        <v>43188.200254629628</v>
      </c>
      <c r="Q1276" s="15" t="s">
        <v>4616</v>
      </c>
      <c r="R1276" s="17" t="s">
        <v>4617</v>
      </c>
      <c r="S1276" s="16" t="s">
        <v>4618</v>
      </c>
      <c r="T1276" s="11"/>
      <c r="U1276" s="10" t="str">
        <f>HYPERLINK("https://pbs.twimg.com/profile_images/1069765639458484226/n1SiqB0j.jpg","View")</f>
        <v>View</v>
      </c>
    </row>
    <row r="1277" spans="1:21" ht="40.799999999999997">
      <c r="A1277" s="6">
        <v>43439.831527777773</v>
      </c>
      <c r="B1277" s="7" t="str">
        <f>HYPERLINK("https://twitter.com/mcyava","@mcyava")</f>
        <v>@mcyava</v>
      </c>
      <c r="C1277" s="8" t="s">
        <v>4572</v>
      </c>
      <c r="D1277" s="9" t="s">
        <v>4619</v>
      </c>
      <c r="E1277" s="10" t="str">
        <f>HYPERLINK("https://twitter.com/mcyava/status/1070391708075069440","1070391708075069440")</f>
        <v>1070391708075069440</v>
      </c>
      <c r="F1277" s="16" t="s">
        <v>4620</v>
      </c>
      <c r="G1277" s="11"/>
      <c r="H1277" s="11"/>
      <c r="I1277" s="12">
        <v>3</v>
      </c>
      <c r="J1277" s="12">
        <v>1</v>
      </c>
      <c r="K1277" s="13" t="str">
        <f t="shared" si="292"/>
        <v>Twitter for Android</v>
      </c>
      <c r="L1277" s="12">
        <v>16630</v>
      </c>
      <c r="M1277" s="12">
        <v>12849</v>
      </c>
      <c r="N1277" s="12">
        <v>90</v>
      </c>
      <c r="O1277" s="14"/>
      <c r="P1277" s="6">
        <v>40819.440150462964</v>
      </c>
      <c r="Q1277" s="15" t="s">
        <v>197</v>
      </c>
      <c r="R1277" s="17" t="s">
        <v>4575</v>
      </c>
      <c r="S1277" s="11"/>
      <c r="T1277" s="11"/>
      <c r="U1277" s="10" t="str">
        <f>HYPERLINK("https://pbs.twimg.com/profile_images/957202578210738176/msS95mss.jpg","View")</f>
        <v>View</v>
      </c>
    </row>
    <row r="1278" spans="1:21" ht="40.799999999999997">
      <c r="A1278" s="6">
        <v>43439.830821759257</v>
      </c>
      <c r="B1278" s="7" t="str">
        <f>HYPERLINK("https://twitter.com/nomedesporculo1","@nomedesporculo1")</f>
        <v>@nomedesporculo1</v>
      </c>
      <c r="C1278" s="8" t="s">
        <v>258</v>
      </c>
      <c r="D1278" s="9" t="s">
        <v>4621</v>
      </c>
      <c r="E1278" s="10" t="str">
        <f>HYPERLINK("https://twitter.com/nomedesporculo1/status/1070391451773743104","1070391451773743104")</f>
        <v>1070391451773743104</v>
      </c>
      <c r="F1278" s="11"/>
      <c r="G1278" s="11"/>
      <c r="H1278" s="11"/>
      <c r="I1278" s="12">
        <v>0</v>
      </c>
      <c r="J1278" s="12">
        <v>0</v>
      </c>
      <c r="K1278" s="13" t="str">
        <f>HYPERLINK("http://twitter.com","Twitter Web Client")</f>
        <v>Twitter Web Client</v>
      </c>
      <c r="L1278" s="12">
        <v>452</v>
      </c>
      <c r="M1278" s="12">
        <v>573</v>
      </c>
      <c r="N1278" s="12">
        <v>1</v>
      </c>
      <c r="O1278" s="14"/>
      <c r="P1278" s="6">
        <v>43229.504178240742</v>
      </c>
      <c r="Q1278" s="15" t="s">
        <v>197</v>
      </c>
      <c r="R1278" s="17" t="s">
        <v>262</v>
      </c>
      <c r="S1278" s="11"/>
      <c r="T1278" s="11"/>
      <c r="U1278" s="10" t="str">
        <f>HYPERLINK("https://pbs.twimg.com/profile_images/994246645255729152/cHfn_Hjl.jpg","View")</f>
        <v>View</v>
      </c>
    </row>
    <row r="1279" spans="1:21" ht="81.599999999999994">
      <c r="A1279" s="6">
        <v>43439.829583333332</v>
      </c>
      <c r="B1279" s="7" t="str">
        <f>HYPERLINK("https://twitter.com/jotaze_cat","@jotaze_cat")</f>
        <v>@jotaze_cat</v>
      </c>
      <c r="C1279" s="8" t="s">
        <v>4622</v>
      </c>
      <c r="D1279" s="9" t="s">
        <v>4623</v>
      </c>
      <c r="E1279" s="10" t="str">
        <f>HYPERLINK("https://twitter.com/jotaze_cat/status/1070391003851444224","1070391003851444224")</f>
        <v>1070391003851444224</v>
      </c>
      <c r="F1279" s="16" t="s">
        <v>43</v>
      </c>
      <c r="G1279" s="11"/>
      <c r="H1279" s="11"/>
      <c r="I1279" s="12">
        <v>0</v>
      </c>
      <c r="J1279" s="12">
        <v>0</v>
      </c>
      <c r="K1279" s="13" t="str">
        <f>HYPERLINK("https://mobile.twitter.com","Twitter Lite")</f>
        <v>Twitter Lite</v>
      </c>
      <c r="L1279" s="12">
        <v>111</v>
      </c>
      <c r="M1279" s="12">
        <v>346</v>
      </c>
      <c r="N1279" s="12">
        <v>0</v>
      </c>
      <c r="O1279" s="14"/>
      <c r="P1279" s="6">
        <v>41397.198749999996</v>
      </c>
      <c r="Q1279" s="15" t="s">
        <v>872</v>
      </c>
      <c r="R1279" s="18"/>
      <c r="S1279" s="11"/>
      <c r="T1279" s="11"/>
      <c r="U1279" s="10" t="str">
        <f>HYPERLINK("https://pbs.twimg.com/profile_images/1064179822933479424/3GgY6lBm.jpg","View")</f>
        <v>View</v>
      </c>
    </row>
    <row r="1280" spans="1:21" ht="40.799999999999997">
      <c r="A1280" s="6">
        <v>43439.829432870371</v>
      </c>
      <c r="B1280" s="7" t="str">
        <f>HYPERLINK("https://twitter.com/vajejs","@vajejs")</f>
        <v>@vajejs</v>
      </c>
      <c r="C1280" s="8" t="s">
        <v>4624</v>
      </c>
      <c r="D1280" s="9" t="s">
        <v>4625</v>
      </c>
      <c r="E1280" s="10" t="str">
        <f>HYPERLINK("https://twitter.com/vajejs/status/1070390948776042496","1070390948776042496")</f>
        <v>1070390948776042496</v>
      </c>
      <c r="F1280" s="11"/>
      <c r="G1280" s="11"/>
      <c r="H1280" s="11"/>
      <c r="I1280" s="12">
        <v>0</v>
      </c>
      <c r="J1280" s="12">
        <v>0</v>
      </c>
      <c r="K1280" s="13" t="str">
        <f>HYPERLINK("http://twitter.com/download/android","Twitter for Android")</f>
        <v>Twitter for Android</v>
      </c>
      <c r="L1280" s="12">
        <v>21</v>
      </c>
      <c r="M1280" s="12">
        <v>95</v>
      </c>
      <c r="N1280" s="12">
        <v>0</v>
      </c>
      <c r="O1280" s="14"/>
      <c r="P1280" s="6">
        <v>42986.545937499999</v>
      </c>
      <c r="Q1280" s="15" t="s">
        <v>531</v>
      </c>
      <c r="R1280" s="17" t="s">
        <v>4626</v>
      </c>
      <c r="S1280" s="11"/>
      <c r="T1280" s="11"/>
      <c r="U1280" s="10" t="str">
        <f>HYPERLINK("https://pbs.twimg.com/profile_images/1062373256362147841/ZeGEYnkl.jpg","View")</f>
        <v>View</v>
      </c>
    </row>
    <row r="1281" spans="1:21" ht="51">
      <c r="A1281" s="6">
        <v>43439.828692129631</v>
      </c>
      <c r="B1281" s="7" t="str">
        <f>HYPERLINK("https://twitter.com/azul_corsario","@azul_corsario")</f>
        <v>@azul_corsario</v>
      </c>
      <c r="C1281" s="8" t="s">
        <v>4627</v>
      </c>
      <c r="D1281" s="9" t="s">
        <v>4628</v>
      </c>
      <c r="E1281" s="10" t="str">
        <f>HYPERLINK("https://twitter.com/azul_corsario/status/1070390680802025473","1070390680802025473")</f>
        <v>1070390680802025473</v>
      </c>
      <c r="F1281" s="11"/>
      <c r="G1281" s="11"/>
      <c r="H1281" s="11"/>
      <c r="I1281" s="12">
        <v>1</v>
      </c>
      <c r="J1281" s="12">
        <v>1</v>
      </c>
      <c r="K1281" s="13" t="str">
        <f>HYPERLINK("http://twitter.com","Twitter Web Client")</f>
        <v>Twitter Web Client</v>
      </c>
      <c r="L1281" s="12">
        <v>189</v>
      </c>
      <c r="M1281" s="12">
        <v>279</v>
      </c>
      <c r="N1281" s="12">
        <v>1</v>
      </c>
      <c r="O1281" s="14"/>
      <c r="P1281" s="6">
        <v>43075.845277777778</v>
      </c>
      <c r="Q1281" s="11"/>
      <c r="R1281" s="17" t="s">
        <v>4629</v>
      </c>
      <c r="S1281" s="11"/>
      <c r="T1281" s="11"/>
      <c r="U1281" s="10" t="str">
        <f>HYPERLINK("https://pbs.twimg.com/profile_images/938504867563307009/EMDmVGBa.jpg","View")</f>
        <v>View</v>
      </c>
    </row>
    <row r="1282" spans="1:21" ht="30.6">
      <c r="A1282" s="6">
        <v>43439.825740740736</v>
      </c>
      <c r="B1282" s="7" t="str">
        <f>HYPERLINK("https://twitter.com/nirekim","@nirekim")</f>
        <v>@nirekim</v>
      </c>
      <c r="C1282" s="8" t="s">
        <v>4630</v>
      </c>
      <c r="D1282" s="9" t="s">
        <v>4631</v>
      </c>
      <c r="E1282" s="10" t="str">
        <f>HYPERLINK("https://twitter.com/nirekim/status/1070389610377895938","1070389610377895938")</f>
        <v>1070389610377895938</v>
      </c>
      <c r="F1282" s="11"/>
      <c r="G1282" s="16" t="s">
        <v>4632</v>
      </c>
      <c r="H1282" s="11"/>
      <c r="I1282" s="12">
        <v>0</v>
      </c>
      <c r="J1282" s="12">
        <v>0</v>
      </c>
      <c r="K1282" s="13" t="str">
        <f>HYPERLINK("http://twitter.com/download/android","Twitter for Android")</f>
        <v>Twitter for Android</v>
      </c>
      <c r="L1282" s="12">
        <v>89</v>
      </c>
      <c r="M1282" s="12">
        <v>446</v>
      </c>
      <c r="N1282" s="12">
        <v>1</v>
      </c>
      <c r="O1282" s="14"/>
      <c r="P1282" s="6">
        <v>40870.733460648145</v>
      </c>
      <c r="Q1282" s="15" t="s">
        <v>1752</v>
      </c>
      <c r="R1282" s="17" t="s">
        <v>4633</v>
      </c>
      <c r="S1282" s="11"/>
      <c r="T1282" s="11"/>
      <c r="U1282" s="10" t="str">
        <f>HYPERLINK("https://pbs.twimg.com/profile_images/920322716745510913/z4RP2qkB.jpg","View")</f>
        <v>View</v>
      </c>
    </row>
    <row r="1283" spans="1:21" ht="61.2">
      <c r="A1283" s="6">
        <v>43439.824675925927</v>
      </c>
      <c r="B1283" s="7" t="str">
        <f>HYPERLINK("https://twitter.com/pijetas","@pijetas")</f>
        <v>@pijetas</v>
      </c>
      <c r="C1283" s="8" t="s">
        <v>4634</v>
      </c>
      <c r="D1283" s="9" t="s">
        <v>4635</v>
      </c>
      <c r="E1283" s="10" t="str">
        <f>HYPERLINK("https://twitter.com/pijetas/status/1070389224883527682","1070389224883527682")</f>
        <v>1070389224883527682</v>
      </c>
      <c r="F1283" s="11"/>
      <c r="G1283" s="11"/>
      <c r="H1283" s="11"/>
      <c r="I1283" s="12">
        <v>0</v>
      </c>
      <c r="J1283" s="12">
        <v>1</v>
      </c>
      <c r="K1283" s="13" t="str">
        <f t="shared" ref="K1283:K1284" si="293">HYPERLINK("http://twitter.com","Twitter Web Client")</f>
        <v>Twitter Web Client</v>
      </c>
      <c r="L1283" s="12">
        <v>310</v>
      </c>
      <c r="M1283" s="12">
        <v>396</v>
      </c>
      <c r="N1283" s="12">
        <v>1</v>
      </c>
      <c r="O1283" s="14"/>
      <c r="P1283" s="6">
        <v>40448.854097222225</v>
      </c>
      <c r="Q1283" s="15" t="s">
        <v>4636</v>
      </c>
      <c r="R1283" s="17" t="s">
        <v>4637</v>
      </c>
      <c r="S1283" s="11"/>
      <c r="T1283" s="11"/>
      <c r="U1283" s="10" t="str">
        <f>HYPERLINK("https://pbs.twimg.com/profile_images/1058337050213208064/roGD6_2X.jpg","View")</f>
        <v>View</v>
      </c>
    </row>
    <row r="1284" spans="1:21" ht="40.799999999999997">
      <c r="A1284" s="6">
        <v>43439.821967592594</v>
      </c>
      <c r="B1284" s="7" t="str">
        <f>HYPERLINK("https://twitter.com/DrXaverius","@DrXaverius")</f>
        <v>@DrXaverius</v>
      </c>
      <c r="C1284" s="8" t="s">
        <v>4638</v>
      </c>
      <c r="D1284" s="9" t="s">
        <v>4639</v>
      </c>
      <c r="E1284" s="10" t="str">
        <f>HYPERLINK("https://twitter.com/DrXaverius/status/1070388241411522561","1070388241411522561")</f>
        <v>1070388241411522561</v>
      </c>
      <c r="F1284" s="16" t="s">
        <v>4640</v>
      </c>
      <c r="G1284" s="11"/>
      <c r="H1284" s="11"/>
      <c r="I1284" s="12">
        <v>0</v>
      </c>
      <c r="J1284" s="12">
        <v>5</v>
      </c>
      <c r="K1284" s="13" t="str">
        <f t="shared" si="293"/>
        <v>Twitter Web Client</v>
      </c>
      <c r="L1284" s="12">
        <v>2361</v>
      </c>
      <c r="M1284" s="12">
        <v>499</v>
      </c>
      <c r="N1284" s="12">
        <v>128</v>
      </c>
      <c r="O1284" s="14"/>
      <c r="P1284" s="6">
        <v>41417.624421296292</v>
      </c>
      <c r="Q1284" s="15" t="s">
        <v>4641</v>
      </c>
      <c r="R1284" s="17" t="s">
        <v>4642</v>
      </c>
      <c r="S1284" s="16" t="s">
        <v>4643</v>
      </c>
      <c r="T1284" s="11"/>
      <c r="U1284" s="10" t="str">
        <f>HYPERLINK("https://pbs.twimg.com/profile_images/910583274900033536/8wLMkJj9.jpg","View")</f>
        <v>View</v>
      </c>
    </row>
    <row r="1285" spans="1:21" ht="20.399999999999999">
      <c r="A1285" s="6">
        <v>43439.82131944444</v>
      </c>
      <c r="B1285" s="7" t="str">
        <f>HYPERLINK("https://twitter.com/PabloTilo","@PabloTilo")</f>
        <v>@PabloTilo</v>
      </c>
      <c r="C1285" s="8" t="s">
        <v>4644</v>
      </c>
      <c r="D1285" s="9" t="s">
        <v>4645</v>
      </c>
      <c r="E1285" s="10" t="str">
        <f>HYPERLINK("https://twitter.com/PabloTilo/status/1070388006954131456","1070388006954131456")</f>
        <v>1070388006954131456</v>
      </c>
      <c r="F1285" s="11"/>
      <c r="G1285" s="11"/>
      <c r="H1285" s="11"/>
      <c r="I1285" s="12">
        <v>0</v>
      </c>
      <c r="J1285" s="12">
        <v>3</v>
      </c>
      <c r="K1285" s="13" t="str">
        <f>HYPERLINK("http://twitter.com/download/android","Twitter for Android")</f>
        <v>Twitter for Android</v>
      </c>
      <c r="L1285" s="12">
        <v>9689</v>
      </c>
      <c r="M1285" s="12">
        <v>366</v>
      </c>
      <c r="N1285" s="12">
        <v>133</v>
      </c>
      <c r="O1285" s="14"/>
      <c r="P1285" s="6">
        <v>41371.868923611109</v>
      </c>
      <c r="Q1285" s="11"/>
      <c r="R1285" s="17" t="s">
        <v>4646</v>
      </c>
      <c r="S1285" s="16" t="s">
        <v>4647</v>
      </c>
      <c r="T1285" s="11"/>
      <c r="U1285" s="10" t="str">
        <f>HYPERLINK("https://pbs.twimg.com/profile_images/1026554068154691584/aZzD0zzA.jpg","View")</f>
        <v>View</v>
      </c>
    </row>
    <row r="1286" spans="1:21" ht="40.799999999999997">
      <c r="A1286" s="6">
        <v>43439.820509259254</v>
      </c>
      <c r="B1286" s="7" t="str">
        <f>HYPERLINK("https://twitter.com/Vox_camporeal","@Vox_camporeal")</f>
        <v>@Vox_camporeal</v>
      </c>
      <c r="C1286" s="8" t="s">
        <v>4648</v>
      </c>
      <c r="D1286" s="9" t="s">
        <v>4649</v>
      </c>
      <c r="E1286" s="10" t="str">
        <f>HYPERLINK("https://twitter.com/Vox_camporeal/status/1070387714674081792","1070387714674081792")</f>
        <v>1070387714674081792</v>
      </c>
      <c r="F1286" s="11"/>
      <c r="G1286" s="16" t="s">
        <v>4650</v>
      </c>
      <c r="H1286" s="11"/>
      <c r="I1286" s="12">
        <v>0</v>
      </c>
      <c r="J1286" s="12">
        <v>2</v>
      </c>
      <c r="K1286" s="13" t="str">
        <f>HYPERLINK("http://twitter.com/download/iphone","Twitter for iPhone")</f>
        <v>Twitter for iPhone</v>
      </c>
      <c r="L1286" s="12">
        <v>511</v>
      </c>
      <c r="M1286" s="12">
        <v>397</v>
      </c>
      <c r="N1286" s="12">
        <v>2</v>
      </c>
      <c r="O1286" s="14"/>
      <c r="P1286" s="6">
        <v>43253.776562500003</v>
      </c>
      <c r="Q1286" s="15" t="s">
        <v>4651</v>
      </c>
      <c r="R1286" s="17" t="s">
        <v>4652</v>
      </c>
      <c r="S1286" s="16" t="s">
        <v>4653</v>
      </c>
      <c r="T1286" s="11"/>
      <c r="U1286" s="10" t="str">
        <f>HYPERLINK("https://pbs.twimg.com/profile_images/1002973548535836672/bXPIP_Jx.jpg","View")</f>
        <v>View</v>
      </c>
    </row>
    <row r="1287" spans="1:21" ht="91.8">
      <c r="A1287" s="6">
        <v>43439.818240740744</v>
      </c>
      <c r="B1287" s="7" t="str">
        <f>HYPERLINK("https://twitter.com/vinalopodigital","@vinalopodigital")</f>
        <v>@vinalopodigital</v>
      </c>
      <c r="C1287" s="8" t="s">
        <v>4654</v>
      </c>
      <c r="D1287" s="9" t="s">
        <v>4655</v>
      </c>
      <c r="E1287" s="10" t="str">
        <f>HYPERLINK("https://twitter.com/vinalopodigital/status/1070386890120007686","1070386890120007686")</f>
        <v>1070386890120007686</v>
      </c>
      <c r="F1287" s="16" t="s">
        <v>4656</v>
      </c>
      <c r="G1287" s="16" t="s">
        <v>4657</v>
      </c>
      <c r="H1287" s="11"/>
      <c r="I1287" s="12">
        <v>0</v>
      </c>
      <c r="J1287" s="12">
        <v>0</v>
      </c>
      <c r="K1287" s="13" t="str">
        <f>HYPERLINK("http://www.facebook.com/twitter","Facebook")</f>
        <v>Facebook</v>
      </c>
      <c r="L1287" s="12">
        <v>340</v>
      </c>
      <c r="M1287" s="12">
        <v>1064</v>
      </c>
      <c r="N1287" s="12">
        <v>10</v>
      </c>
      <c r="O1287" s="14"/>
      <c r="P1287" s="6">
        <v>39985.399305555555</v>
      </c>
      <c r="Q1287" s="15" t="s">
        <v>4658</v>
      </c>
      <c r="R1287" s="17" t="s">
        <v>4659</v>
      </c>
      <c r="S1287" s="16" t="s">
        <v>4660</v>
      </c>
      <c r="T1287" s="11"/>
      <c r="U1287" s="10" t="str">
        <f>HYPERLINK("https://pbs.twimg.com/profile_images/952997621819375618/6b4YhObB.jpg","View")</f>
        <v>View</v>
      </c>
    </row>
    <row r="1288" spans="1:21" ht="51">
      <c r="A1288" s="6">
        <v>43439.817962962959</v>
      </c>
      <c r="B1288" s="7" t="str">
        <f>HYPERLINK("https://twitter.com/SilviaBueu","@SilviaBueu")</f>
        <v>@SilviaBueu</v>
      </c>
      <c r="C1288" s="8" t="s">
        <v>4661</v>
      </c>
      <c r="D1288" s="9" t="s">
        <v>4662</v>
      </c>
      <c r="E1288" s="10" t="str">
        <f>HYPERLINK("https://twitter.com/SilviaBueu/status/1070386789846839297","1070386789846839297")</f>
        <v>1070386789846839297</v>
      </c>
      <c r="F1288" s="15" t="s">
        <v>4663</v>
      </c>
      <c r="G1288" s="11"/>
      <c r="H1288" s="11"/>
      <c r="I1288" s="12">
        <v>1</v>
      </c>
      <c r="J1288" s="12">
        <v>1</v>
      </c>
      <c r="K1288" s="13" t="str">
        <f>HYPERLINK("http://twitter.com/download/android","Twitter for Android")</f>
        <v>Twitter for Android</v>
      </c>
      <c r="L1288" s="12">
        <v>1299</v>
      </c>
      <c r="M1288" s="12">
        <v>2930</v>
      </c>
      <c r="N1288" s="12">
        <v>13</v>
      </c>
      <c r="O1288" s="14"/>
      <c r="P1288" s="6">
        <v>42004.504803240736</v>
      </c>
      <c r="Q1288" s="15" t="s">
        <v>4664</v>
      </c>
      <c r="R1288" s="17" t="s">
        <v>4665</v>
      </c>
      <c r="S1288" s="11"/>
      <c r="T1288" s="11"/>
      <c r="U1288" s="10" t="str">
        <f>HYPERLINK("https://pbs.twimg.com/profile_images/1068787795974606848/w2V8m-Lz.jpg","View")</f>
        <v>View</v>
      </c>
    </row>
    <row r="1289" spans="1:21" ht="30.6">
      <c r="A1289" s="6">
        <v>43439.817766203705</v>
      </c>
      <c r="B1289" s="7" t="str">
        <f>HYPERLINK("https://twitter.com/marianofake","@marianofake")</f>
        <v>@marianofake</v>
      </c>
      <c r="C1289" s="8" t="s">
        <v>4666</v>
      </c>
      <c r="D1289" s="9" t="s">
        <v>4667</v>
      </c>
      <c r="E1289" s="10" t="str">
        <f>HYPERLINK("https://twitter.com/marianofake/status/1070386718963052544","1070386718963052544")</f>
        <v>1070386718963052544</v>
      </c>
      <c r="F1289" s="11"/>
      <c r="G1289" s="11"/>
      <c r="H1289" s="11"/>
      <c r="I1289" s="12">
        <v>9</v>
      </c>
      <c r="J1289" s="12">
        <v>8</v>
      </c>
      <c r="K1289" s="13" t="str">
        <f>HYPERLINK("https://mobile.twitter.com","Twitter Lite")</f>
        <v>Twitter Lite</v>
      </c>
      <c r="L1289" s="12">
        <v>6144</v>
      </c>
      <c r="M1289" s="12">
        <v>3153</v>
      </c>
      <c r="N1289" s="12">
        <v>19</v>
      </c>
      <c r="O1289" s="14"/>
      <c r="P1289" s="6">
        <v>42101.675752314812</v>
      </c>
      <c r="Q1289" s="11"/>
      <c r="R1289" s="17" t="s">
        <v>4668</v>
      </c>
      <c r="S1289" s="11"/>
      <c r="T1289" s="11"/>
      <c r="U1289" s="10" t="str">
        <f>HYPERLINK("https://pbs.twimg.com/profile_images/865123852795367424/p4pK2M21.jpg","View")</f>
        <v>View</v>
      </c>
    </row>
    <row r="1290" spans="1:21" ht="20.399999999999999">
      <c r="A1290" s="6">
        <v>43439.817488425921</v>
      </c>
      <c r="B1290" s="7" t="str">
        <f>HYPERLINK("https://twitter.com/jose_leyva","@jose_leyva")</f>
        <v>@jose_leyva</v>
      </c>
      <c r="C1290" s="8" t="s">
        <v>4669</v>
      </c>
      <c r="D1290" s="9" t="s">
        <v>4670</v>
      </c>
      <c r="E1290" s="10" t="str">
        <f>HYPERLINK("https://twitter.com/jose_leyva/status/1070386617678999552","1070386617678999552")</f>
        <v>1070386617678999552</v>
      </c>
      <c r="F1290" s="11"/>
      <c r="G1290" s="11"/>
      <c r="H1290" s="11"/>
      <c r="I1290" s="12">
        <v>0</v>
      </c>
      <c r="J1290" s="12">
        <v>1</v>
      </c>
      <c r="K1290" s="13" t="str">
        <f>HYPERLINK("http://twitter.com/download/android","Twitter for Android")</f>
        <v>Twitter for Android</v>
      </c>
      <c r="L1290" s="12">
        <v>4661</v>
      </c>
      <c r="M1290" s="12">
        <v>339</v>
      </c>
      <c r="N1290" s="12">
        <v>18</v>
      </c>
      <c r="O1290" s="14"/>
      <c r="P1290" s="6">
        <v>40438.035173611112</v>
      </c>
      <c r="Q1290" s="15" t="s">
        <v>4671</v>
      </c>
      <c r="R1290" s="17" t="s">
        <v>4672</v>
      </c>
      <c r="S1290" s="16" t="s">
        <v>4673</v>
      </c>
      <c r="T1290" s="11"/>
      <c r="U1290" s="10" t="str">
        <f>HYPERLINK("https://pbs.twimg.com/profile_images/726532996967333890/AW120seL.jpg","View")</f>
        <v>View</v>
      </c>
    </row>
    <row r="1291" spans="1:21" ht="30.6">
      <c r="A1291" s="6">
        <v>43439.815613425926</v>
      </c>
      <c r="B1291" s="7" t="str">
        <f>HYPERLINK("https://twitter.com/capiflores","@capiflores")</f>
        <v>@capiflores</v>
      </c>
      <c r="C1291" s="8" t="s">
        <v>4674</v>
      </c>
      <c r="D1291" s="9" t="s">
        <v>4675</v>
      </c>
      <c r="E1291" s="10" t="str">
        <f>HYPERLINK("https://twitter.com/capiflores/status/1070385940424769542","1070385940424769542")</f>
        <v>1070385940424769542</v>
      </c>
      <c r="F1291" s="11"/>
      <c r="G1291" s="11"/>
      <c r="H1291" s="11"/>
      <c r="I1291" s="12">
        <v>0</v>
      </c>
      <c r="J1291" s="12">
        <v>0</v>
      </c>
      <c r="K1291" s="13" t="str">
        <f t="shared" ref="K1291:K1292" si="294">HYPERLINK("http://twitter.com","Twitter Web Client")</f>
        <v>Twitter Web Client</v>
      </c>
      <c r="L1291" s="12">
        <v>606</v>
      </c>
      <c r="M1291" s="12">
        <v>573</v>
      </c>
      <c r="N1291" s="12">
        <v>2</v>
      </c>
      <c r="O1291" s="14"/>
      <c r="P1291" s="6">
        <v>40854.749907407408</v>
      </c>
      <c r="Q1291" s="15" t="s">
        <v>197</v>
      </c>
      <c r="R1291" s="17" t="s">
        <v>4676</v>
      </c>
      <c r="S1291" s="11"/>
      <c r="T1291" s="11"/>
      <c r="U1291" s="10" t="str">
        <f>HYPERLINK("https://pbs.twimg.com/profile_images/901745280718163968/56Ve0Z8B.jpg","View")</f>
        <v>View</v>
      </c>
    </row>
    <row r="1292" spans="1:21" ht="30.6">
      <c r="A1292" s="6">
        <v>43439.81559027778</v>
      </c>
      <c r="B1292" s="7" t="str">
        <f>HYPERLINK("https://twitter.com/dalsanto22","@dalsanto22")</f>
        <v>@dalsanto22</v>
      </c>
      <c r="C1292" s="8" t="s">
        <v>4677</v>
      </c>
      <c r="D1292" s="9" t="s">
        <v>4678</v>
      </c>
      <c r="E1292" s="10" t="str">
        <f>HYPERLINK("https://twitter.com/dalsanto22/status/1070385933319630850","1070385933319630850")</f>
        <v>1070385933319630850</v>
      </c>
      <c r="F1292" s="11"/>
      <c r="G1292" s="16" t="s">
        <v>4679</v>
      </c>
      <c r="H1292" s="11"/>
      <c r="I1292" s="12">
        <v>0</v>
      </c>
      <c r="J1292" s="12">
        <v>0</v>
      </c>
      <c r="K1292" s="13" t="str">
        <f t="shared" si="294"/>
        <v>Twitter Web Client</v>
      </c>
      <c r="L1292" s="12">
        <v>898</v>
      </c>
      <c r="M1292" s="12">
        <v>837</v>
      </c>
      <c r="N1292" s="12">
        <v>7</v>
      </c>
      <c r="O1292" s="14"/>
      <c r="P1292" s="6">
        <v>41781.447013888886</v>
      </c>
      <c r="Q1292" s="15" t="s">
        <v>612</v>
      </c>
      <c r="R1292" s="18"/>
      <c r="S1292" s="11"/>
      <c r="T1292" s="11"/>
      <c r="U1292" s="10" t="str">
        <f>HYPERLINK("https://pbs.twimg.com/profile_images/486429688034648064/Tm8XCGeR.png","View")</f>
        <v>View</v>
      </c>
    </row>
    <row r="1293" spans="1:21" ht="40.799999999999997">
      <c r="A1293" s="6">
        <v>43439.813460648147</v>
      </c>
      <c r="B1293" s="7" t="str">
        <f>HYPERLINK("https://twitter.com/fsanmartin2014","@fsanmartin2014")</f>
        <v>@fsanmartin2014</v>
      </c>
      <c r="C1293" s="8" t="s">
        <v>4680</v>
      </c>
      <c r="D1293" s="9" t="s">
        <v>4681</v>
      </c>
      <c r="E1293" s="10" t="str">
        <f>HYPERLINK("https://twitter.com/fsanmartin2014/status/1070385159709560832","1070385159709560832")</f>
        <v>1070385159709560832</v>
      </c>
      <c r="F1293" s="15" t="s">
        <v>4682</v>
      </c>
      <c r="G1293" s="11"/>
      <c r="H1293" s="11"/>
      <c r="I1293" s="12">
        <v>0</v>
      </c>
      <c r="J1293" s="12">
        <v>1</v>
      </c>
      <c r="K1293" s="13" t="str">
        <f t="shared" ref="K1293:K1294" si="295">HYPERLINK("http://twitter.com/download/android","Twitter for Android")</f>
        <v>Twitter for Android</v>
      </c>
      <c r="L1293" s="12">
        <v>865</v>
      </c>
      <c r="M1293" s="12">
        <v>522</v>
      </c>
      <c r="N1293" s="12">
        <v>39</v>
      </c>
      <c r="O1293" s="14"/>
      <c r="P1293" s="6">
        <v>41768.419814814813</v>
      </c>
      <c r="Q1293" s="15" t="s">
        <v>4683</v>
      </c>
      <c r="R1293" s="17" t="s">
        <v>4684</v>
      </c>
      <c r="S1293" s="11"/>
      <c r="T1293" s="11"/>
      <c r="U1293" s="10" t="str">
        <f>HYPERLINK("https://pbs.twimg.com/profile_images/880325441688670208/rsHenpri.jpg","View")</f>
        <v>View</v>
      </c>
    </row>
    <row r="1294" spans="1:21" ht="30.6">
      <c r="A1294" s="6">
        <v>43439.810289351852</v>
      </c>
      <c r="B1294" s="7" t="str">
        <f>HYPERLINK("https://twitter.com/septimio_severo","@septimio_severo")</f>
        <v>@septimio_severo</v>
      </c>
      <c r="C1294" s="8" t="s">
        <v>4587</v>
      </c>
      <c r="D1294" s="9" t="s">
        <v>4685</v>
      </c>
      <c r="E1294" s="10" t="str">
        <f>HYPERLINK("https://twitter.com/septimio_severo/status/1070384009736278016","1070384009736278016")</f>
        <v>1070384009736278016</v>
      </c>
      <c r="F1294" s="11"/>
      <c r="G1294" s="11"/>
      <c r="H1294" s="11"/>
      <c r="I1294" s="12">
        <v>0</v>
      </c>
      <c r="J1294" s="12">
        <v>0</v>
      </c>
      <c r="K1294" s="13" t="str">
        <f t="shared" si="295"/>
        <v>Twitter for Android</v>
      </c>
      <c r="L1294" s="12">
        <v>599</v>
      </c>
      <c r="M1294" s="12">
        <v>351</v>
      </c>
      <c r="N1294" s="12">
        <v>10</v>
      </c>
      <c r="O1294" s="14"/>
      <c r="P1294" s="6">
        <v>40348.000416666662</v>
      </c>
      <c r="Q1294" s="15" t="s">
        <v>612</v>
      </c>
      <c r="R1294" s="17" t="s">
        <v>4590</v>
      </c>
      <c r="S1294" s="11"/>
      <c r="T1294" s="11"/>
      <c r="U1294" s="10" t="str">
        <f>HYPERLINK("https://pbs.twimg.com/profile_images/718910012878364672/8SzhvpVN.jpg","View")</f>
        <v>View</v>
      </c>
    </row>
    <row r="1295" spans="1:21" ht="51">
      <c r="A1295" s="6">
        <v>43439.809884259259</v>
      </c>
      <c r="B1295" s="7" t="str">
        <f>HYPERLINK("https://twitter.com/Mercedes90_","@Mercedes90_")</f>
        <v>@Mercedes90_</v>
      </c>
      <c r="C1295" s="8" t="s">
        <v>4686</v>
      </c>
      <c r="D1295" s="9" t="s">
        <v>4687</v>
      </c>
      <c r="E1295" s="10" t="str">
        <f>HYPERLINK("https://twitter.com/Mercedes90_/status/1070383864160370689","1070383864160370689")</f>
        <v>1070383864160370689</v>
      </c>
      <c r="F1295" s="15" t="s">
        <v>4201</v>
      </c>
      <c r="G1295" s="16" t="s">
        <v>4202</v>
      </c>
      <c r="H1295" s="11"/>
      <c r="I1295" s="12">
        <v>0</v>
      </c>
      <c r="J1295" s="12">
        <v>2</v>
      </c>
      <c r="K1295" s="13" t="str">
        <f t="shared" ref="K1295:K1296" si="296">HYPERLINK("http://twitter.com/download/iphone","Twitter for iPhone")</f>
        <v>Twitter for iPhone</v>
      </c>
      <c r="L1295" s="12">
        <v>1435</v>
      </c>
      <c r="M1295" s="12">
        <v>1157</v>
      </c>
      <c r="N1295" s="12">
        <v>21</v>
      </c>
      <c r="O1295" s="14"/>
      <c r="P1295" s="6">
        <v>40499.917453703703</v>
      </c>
      <c r="Q1295" s="15" t="s">
        <v>1992</v>
      </c>
      <c r="R1295" s="17" t="s">
        <v>4688</v>
      </c>
      <c r="S1295" s="11"/>
      <c r="T1295" s="11"/>
      <c r="U1295" s="10" t="str">
        <f>HYPERLINK("https://pbs.twimg.com/profile_images/990630653246038018/yPuHYPnF.jpg","View")</f>
        <v>View</v>
      </c>
    </row>
    <row r="1296" spans="1:21" ht="71.400000000000006">
      <c r="A1296" s="6">
        <v>43439.809421296297</v>
      </c>
      <c r="B1296" s="7" t="str">
        <f>HYPERLINK("https://twitter.com/WadoAsociacion","@WadoAsociacion")</f>
        <v>@WadoAsociacion</v>
      </c>
      <c r="C1296" s="8" t="s">
        <v>4689</v>
      </c>
      <c r="D1296" s="9" t="s">
        <v>4690</v>
      </c>
      <c r="E1296" s="10" t="str">
        <f>HYPERLINK("https://twitter.com/WadoAsociacion/status/1070383695473926150","1070383695473926150")</f>
        <v>1070383695473926150</v>
      </c>
      <c r="F1296" s="15" t="s">
        <v>4691</v>
      </c>
      <c r="G1296" s="16" t="s">
        <v>1002</v>
      </c>
      <c r="H1296" s="11"/>
      <c r="I1296" s="12">
        <v>10</v>
      </c>
      <c r="J1296" s="12">
        <v>13</v>
      </c>
      <c r="K1296" s="13" t="str">
        <f t="shared" si="296"/>
        <v>Twitter for iPhone</v>
      </c>
      <c r="L1296" s="12">
        <v>1609</v>
      </c>
      <c r="M1296" s="12">
        <v>584</v>
      </c>
      <c r="N1296" s="12">
        <v>26</v>
      </c>
      <c r="O1296" s="14"/>
      <c r="P1296" s="6">
        <v>41044.587083333332</v>
      </c>
      <c r="Q1296" s="15" t="s">
        <v>4692</v>
      </c>
      <c r="R1296" s="17" t="s">
        <v>4693</v>
      </c>
      <c r="S1296" s="16" t="s">
        <v>4694</v>
      </c>
      <c r="T1296" s="11"/>
      <c r="U1296" s="10" t="str">
        <f>HYPERLINK("https://pbs.twimg.com/profile_images/934385475766358016/kgkm3Yzz.jpg","View")</f>
        <v>View</v>
      </c>
    </row>
    <row r="1297" spans="1:21" ht="40.799999999999997">
      <c r="A1297" s="6">
        <v>43439.808032407411</v>
      </c>
      <c r="B1297" s="7" t="str">
        <f>HYPERLINK("https://twitter.com/Ed25GR","@Ed25GR")</f>
        <v>@Ed25GR</v>
      </c>
      <c r="C1297" s="8" t="s">
        <v>4695</v>
      </c>
      <c r="D1297" s="9" t="s">
        <v>4696</v>
      </c>
      <c r="E1297" s="10" t="str">
        <f>HYPERLINK("https://twitter.com/Ed25GR/status/1070383193231147008","1070383193231147008")</f>
        <v>1070383193231147008</v>
      </c>
      <c r="F1297" s="11"/>
      <c r="G1297" s="11"/>
      <c r="H1297" s="11"/>
      <c r="I1297" s="12">
        <v>2</v>
      </c>
      <c r="J1297" s="12">
        <v>3</v>
      </c>
      <c r="K1297" s="13" t="str">
        <f>HYPERLINK("http://twitter.com","Twitter Web Client")</f>
        <v>Twitter Web Client</v>
      </c>
      <c r="L1297" s="12">
        <v>71</v>
      </c>
      <c r="M1297" s="12">
        <v>62</v>
      </c>
      <c r="N1297" s="12">
        <v>0</v>
      </c>
      <c r="O1297" s="14"/>
      <c r="P1297" s="6">
        <v>42969.956956018519</v>
      </c>
      <c r="Q1297" s="15" t="s">
        <v>986</v>
      </c>
      <c r="R1297" s="17" t="s">
        <v>4697</v>
      </c>
      <c r="S1297" s="11"/>
      <c r="T1297" s="11"/>
      <c r="U1297" s="10" t="str">
        <f>HYPERLINK("https://pbs.twimg.com/profile_images/900102387507113985/NEyQfarR.jpg","View")</f>
        <v>View</v>
      </c>
    </row>
    <row r="1298" spans="1:21" ht="51">
      <c r="A1298" s="6">
        <v>43439.80673611111</v>
      </c>
      <c r="B1298" s="7" t="str">
        <f>HYPERLINK("https://twitter.com/agus_m_altes","@agus_m_altes")</f>
        <v>@agus_m_altes</v>
      </c>
      <c r="C1298" s="8" t="s">
        <v>4698</v>
      </c>
      <c r="D1298" s="9" t="s">
        <v>4699</v>
      </c>
      <c r="E1298" s="10" t="str">
        <f>HYPERLINK("https://twitter.com/agus_m_altes/status/1070382721460002816","1070382721460002816")</f>
        <v>1070382721460002816</v>
      </c>
      <c r="F1298" s="16" t="s">
        <v>4700</v>
      </c>
      <c r="G1298" s="11"/>
      <c r="H1298" s="11"/>
      <c r="I1298" s="12">
        <v>0</v>
      </c>
      <c r="J1298" s="12">
        <v>0</v>
      </c>
      <c r="K1298" s="13" t="str">
        <f t="shared" ref="K1298:K1299" si="297">HYPERLINK("http://twitter.com/download/android","Twitter for Android")</f>
        <v>Twitter for Android</v>
      </c>
      <c r="L1298" s="12">
        <v>484</v>
      </c>
      <c r="M1298" s="12">
        <v>1204</v>
      </c>
      <c r="N1298" s="12">
        <v>1</v>
      </c>
      <c r="O1298" s="14"/>
      <c r="P1298" s="6">
        <v>42968.503333333334</v>
      </c>
      <c r="Q1298" s="11"/>
      <c r="R1298" s="17" t="s">
        <v>4701</v>
      </c>
      <c r="S1298" s="11"/>
      <c r="T1298" s="11"/>
      <c r="U1298" s="10" t="str">
        <f>HYPERLINK("https://pbs.twimg.com/profile_images/899577060393459712/2rE6D2YD.jpg","View")</f>
        <v>View</v>
      </c>
    </row>
    <row r="1299" spans="1:21" ht="81.599999999999994">
      <c r="A1299" s="6">
        <v>43439.806481481486</v>
      </c>
      <c r="B1299" s="7" t="str">
        <f>HYPERLINK("https://twitter.com/fancy_lord","@fancy_lord")</f>
        <v>@fancy_lord</v>
      </c>
      <c r="C1299" s="8" t="s">
        <v>4702</v>
      </c>
      <c r="D1299" s="9" t="s">
        <v>4703</v>
      </c>
      <c r="E1299" s="10" t="str">
        <f>HYPERLINK("https://twitter.com/fancy_lord/status/1070382630858833920","1070382630858833920")</f>
        <v>1070382630858833920</v>
      </c>
      <c r="F1299" s="16" t="s">
        <v>4704</v>
      </c>
      <c r="G1299" s="16" t="s">
        <v>4705</v>
      </c>
      <c r="H1299" s="11"/>
      <c r="I1299" s="12">
        <v>0</v>
      </c>
      <c r="J1299" s="12">
        <v>0</v>
      </c>
      <c r="K1299" s="13" t="str">
        <f t="shared" si="297"/>
        <v>Twitter for Android</v>
      </c>
      <c r="L1299" s="12">
        <v>890</v>
      </c>
      <c r="M1299" s="12">
        <v>679</v>
      </c>
      <c r="N1299" s="12">
        <v>21</v>
      </c>
      <c r="O1299" s="14"/>
      <c r="P1299" s="6">
        <v>42135.501377314809</v>
      </c>
      <c r="Q1299" s="11"/>
      <c r="R1299" s="17" t="s">
        <v>4706</v>
      </c>
      <c r="S1299" s="11"/>
      <c r="T1299" s="11"/>
      <c r="U1299" s="10" t="str">
        <f>HYPERLINK("https://pbs.twimg.com/profile_images/1060264064713134080/jcwgu4i2.jpg","View")</f>
        <v>View</v>
      </c>
    </row>
    <row r="1300" spans="1:21" ht="61.2">
      <c r="A1300" s="6">
        <v>43439.80368055556</v>
      </c>
      <c r="B1300" s="7" t="str">
        <f>HYPERLINK("https://twitter.com/_albertodiaz","@_albertodiaz")</f>
        <v>@_albertodiaz</v>
      </c>
      <c r="C1300" s="8" t="s">
        <v>4707</v>
      </c>
      <c r="D1300" s="9" t="s">
        <v>4708</v>
      </c>
      <c r="E1300" s="10" t="str">
        <f>HYPERLINK("https://twitter.com/_albertodiaz/status/1070381615136862208","1070381615136862208")</f>
        <v>1070381615136862208</v>
      </c>
      <c r="F1300" s="11"/>
      <c r="G1300" s="11"/>
      <c r="H1300" s="11"/>
      <c r="I1300" s="12">
        <v>0</v>
      </c>
      <c r="J1300" s="12">
        <v>4</v>
      </c>
      <c r="K1300" s="13" t="str">
        <f t="shared" ref="K1300:K1301" si="298">HYPERLINK("http://twitter.com/download/iphone","Twitter for iPhone")</f>
        <v>Twitter for iPhone</v>
      </c>
      <c r="L1300" s="12">
        <v>731</v>
      </c>
      <c r="M1300" s="12">
        <v>808</v>
      </c>
      <c r="N1300" s="12">
        <v>3</v>
      </c>
      <c r="O1300" s="14"/>
      <c r="P1300" s="6">
        <v>40931.705567129626</v>
      </c>
      <c r="Q1300" s="15" t="s">
        <v>724</v>
      </c>
      <c r="R1300" s="18"/>
      <c r="S1300" s="16" t="s">
        <v>4709</v>
      </c>
      <c r="T1300" s="11"/>
      <c r="U1300" s="10" t="str">
        <f>HYPERLINK("https://pbs.twimg.com/profile_images/1022820317218127872/BawyhqEd.jpg","View")</f>
        <v>View</v>
      </c>
    </row>
    <row r="1301" spans="1:21" ht="30.6">
      <c r="A1301" s="6">
        <v>43439.803182870368</v>
      </c>
      <c r="B1301" s="7" t="str">
        <f>HYPERLINK("https://twitter.com/espeaceituna","@espeaceituna")</f>
        <v>@espeaceituna</v>
      </c>
      <c r="C1301" s="8" t="s">
        <v>4710</v>
      </c>
      <c r="D1301" s="9" t="s">
        <v>4711</v>
      </c>
      <c r="E1301" s="10" t="str">
        <f>HYPERLINK("https://twitter.com/espeaceituna/status/1070381435528339456","1070381435528339456")</f>
        <v>1070381435528339456</v>
      </c>
      <c r="F1301" s="11"/>
      <c r="G1301" s="11"/>
      <c r="H1301" s="11"/>
      <c r="I1301" s="12">
        <v>0</v>
      </c>
      <c r="J1301" s="12">
        <v>1</v>
      </c>
      <c r="K1301" s="13" t="str">
        <f t="shared" si="298"/>
        <v>Twitter for iPhone</v>
      </c>
      <c r="L1301" s="12">
        <v>114</v>
      </c>
      <c r="M1301" s="12">
        <v>200</v>
      </c>
      <c r="N1301" s="12">
        <v>1</v>
      </c>
      <c r="O1301" s="14"/>
      <c r="P1301" s="6">
        <v>40685.009074074071</v>
      </c>
      <c r="Q1301" s="11"/>
      <c r="R1301" s="17" t="s">
        <v>4712</v>
      </c>
      <c r="S1301" s="11"/>
      <c r="T1301" s="11"/>
      <c r="U1301" s="10" t="str">
        <f>HYPERLINK("https://pbs.twimg.com/profile_images/378800000069939000/da2afe39cedef1144ea3e8523e8b24ed.jpeg","View")</f>
        <v>View</v>
      </c>
    </row>
    <row r="1302" spans="1:21" ht="51">
      <c r="A1302" s="6">
        <v>43439.802615740744</v>
      </c>
      <c r="B1302" s="7" t="str">
        <f>HYPERLINK("https://twitter.com/Akrainsurrecto","@Akrainsurrecto")</f>
        <v>@Akrainsurrecto</v>
      </c>
      <c r="C1302" s="8" t="s">
        <v>4713</v>
      </c>
      <c r="D1302" s="9" t="s">
        <v>4714</v>
      </c>
      <c r="E1302" s="10" t="str">
        <f>HYPERLINK("https://twitter.com/Akrainsurrecto/status/1070381227700563968","1070381227700563968")</f>
        <v>1070381227700563968</v>
      </c>
      <c r="F1302" s="11"/>
      <c r="G1302" s="11"/>
      <c r="H1302" s="11"/>
      <c r="I1302" s="12">
        <v>0</v>
      </c>
      <c r="J1302" s="12">
        <v>0</v>
      </c>
      <c r="K1302" s="13" t="str">
        <f>HYPERLINK("http://twitter.com","Twitter Web Client")</f>
        <v>Twitter Web Client</v>
      </c>
      <c r="L1302" s="12">
        <v>2644</v>
      </c>
      <c r="M1302" s="12">
        <v>2264</v>
      </c>
      <c r="N1302" s="12">
        <v>12</v>
      </c>
      <c r="O1302" s="14"/>
      <c r="P1302" s="6">
        <v>41584.492210648146</v>
      </c>
      <c r="Q1302" s="11"/>
      <c r="R1302" s="17" t="s">
        <v>4715</v>
      </c>
      <c r="S1302" s="11"/>
      <c r="T1302" s="11"/>
      <c r="U1302" s="10" t="str">
        <f>HYPERLINK("https://pbs.twimg.com/profile_images/378800000702242175/9308473ee8d6e49754ad631151c2ec8b.jpeg","View")</f>
        <v>View</v>
      </c>
    </row>
    <row r="1303" spans="1:21" ht="51">
      <c r="A1303" s="6">
        <v>43439.80190972222</v>
      </c>
      <c r="B1303" s="7" t="str">
        <f>HYPERLINK("https://twitter.com/Toni_Charli","@Toni_Charli")</f>
        <v>@Toni_Charli</v>
      </c>
      <c r="C1303" s="8" t="s">
        <v>319</v>
      </c>
      <c r="D1303" s="9" t="s">
        <v>4716</v>
      </c>
      <c r="E1303" s="10" t="str">
        <f>HYPERLINK("https://twitter.com/Toni_Charli/status/1070380974754676737","1070380974754676737")</f>
        <v>1070380974754676737</v>
      </c>
      <c r="F1303" s="11"/>
      <c r="G1303" s="16" t="s">
        <v>4717</v>
      </c>
      <c r="H1303" s="11"/>
      <c r="I1303" s="12">
        <v>3</v>
      </c>
      <c r="J1303" s="12">
        <v>1</v>
      </c>
      <c r="K1303" s="13" t="str">
        <f>HYPERLINK("https://mobile.twitter.com","Twitter Lite")</f>
        <v>Twitter Lite</v>
      </c>
      <c r="L1303" s="12">
        <v>492</v>
      </c>
      <c r="M1303" s="12">
        <v>254</v>
      </c>
      <c r="N1303" s="12">
        <v>2</v>
      </c>
      <c r="O1303" s="14"/>
      <c r="P1303" s="6">
        <v>42975.976365740746</v>
      </c>
      <c r="Q1303" s="15" t="s">
        <v>197</v>
      </c>
      <c r="R1303" s="18"/>
      <c r="S1303" s="11"/>
      <c r="T1303" s="11"/>
      <c r="U1303" s="10" t="str">
        <f>HYPERLINK("https://pbs.twimg.com/profile_images/919919009344245760/6QZSNgo1.jpg","View")</f>
        <v>View</v>
      </c>
    </row>
    <row r="1304" spans="1:21" ht="30.6">
      <c r="A1304" s="6">
        <v>43439.801898148144</v>
      </c>
      <c r="B1304" s="7" t="str">
        <f>HYPERLINK("https://twitter.com/JoserraFG","@JoserraFG")</f>
        <v>@JoserraFG</v>
      </c>
      <c r="C1304" s="8" t="s">
        <v>4718</v>
      </c>
      <c r="D1304" s="9" t="s">
        <v>4719</v>
      </c>
      <c r="E1304" s="10" t="str">
        <f>HYPERLINK("https://twitter.com/JoserraFG/status/1070380968903671809","1070380968903671809")</f>
        <v>1070380968903671809</v>
      </c>
      <c r="F1304" s="16" t="s">
        <v>4720</v>
      </c>
      <c r="G1304" s="11"/>
      <c r="H1304" s="11"/>
      <c r="I1304" s="12">
        <v>0</v>
      </c>
      <c r="J1304" s="12">
        <v>0</v>
      </c>
      <c r="K1304" s="13" t="str">
        <f>HYPERLINK("http://twitter.com/download/iphone","Twitter for iPhone")</f>
        <v>Twitter for iPhone</v>
      </c>
      <c r="L1304" s="12">
        <v>667</v>
      </c>
      <c r="M1304" s="12">
        <v>1218</v>
      </c>
      <c r="N1304" s="12">
        <v>4</v>
      </c>
      <c r="O1304" s="14"/>
      <c r="P1304" s="6">
        <v>40803.099710648152</v>
      </c>
      <c r="Q1304" s="15" t="s">
        <v>4721</v>
      </c>
      <c r="R1304" s="17" t="s">
        <v>4722</v>
      </c>
      <c r="S1304" s="16" t="s">
        <v>4723</v>
      </c>
      <c r="T1304" s="11"/>
      <c r="U1304" s="10" t="str">
        <f>HYPERLINK("https://pbs.twimg.com/profile_images/954484404184928256/B_zKl8qH.jpg","View")</f>
        <v>View</v>
      </c>
    </row>
    <row r="1305" spans="1:21" ht="40.799999999999997">
      <c r="A1305" s="6">
        <v>43439.801296296297</v>
      </c>
      <c r="B1305" s="7" t="str">
        <f>HYPERLINK("https://twitter.com/qlasmatacalland","@qlasmatacalland")</f>
        <v>@qlasmatacalland</v>
      </c>
      <c r="C1305" s="8" t="s">
        <v>4724</v>
      </c>
      <c r="D1305" s="9" t="s">
        <v>4725</v>
      </c>
      <c r="E1305" s="10" t="str">
        <f>HYPERLINK("https://twitter.com/qlasmatacalland/status/1070380750791458817","1070380750791458817")</f>
        <v>1070380750791458817</v>
      </c>
      <c r="F1305" s="11"/>
      <c r="G1305" s="16" t="s">
        <v>4726</v>
      </c>
      <c r="H1305" s="11"/>
      <c r="I1305" s="12">
        <v>0</v>
      </c>
      <c r="J1305" s="12">
        <v>0</v>
      </c>
      <c r="K1305" s="13" t="str">
        <f t="shared" ref="K1305:K1307" si="299">HYPERLINK("http://twitter.com/download/android","Twitter for Android")</f>
        <v>Twitter for Android</v>
      </c>
      <c r="L1305" s="12">
        <v>186</v>
      </c>
      <c r="M1305" s="12">
        <v>438</v>
      </c>
      <c r="N1305" s="12">
        <v>0</v>
      </c>
      <c r="O1305" s="14"/>
      <c r="P1305" s="6">
        <v>42864.920138888891</v>
      </c>
      <c r="Q1305" s="11"/>
      <c r="R1305" s="18"/>
      <c r="S1305" s="11"/>
      <c r="T1305" s="11"/>
      <c r="U1305" s="10" t="str">
        <f>HYPERLINK("https://pbs.twimg.com/profile_images/1010279019634462721/JP1Oti9U.jpg","View")</f>
        <v>View</v>
      </c>
    </row>
    <row r="1306" spans="1:21" ht="51">
      <c r="A1306" s="6">
        <v>43439.801053240742</v>
      </c>
      <c r="B1306" s="7" t="str">
        <f>HYPERLINK("https://twitter.com/Edu_snchzmlln","@Edu_snchzmlln")</f>
        <v>@Edu_snchzmlln</v>
      </c>
      <c r="C1306" s="8" t="s">
        <v>4727</v>
      </c>
      <c r="D1306" s="9" t="s">
        <v>4728</v>
      </c>
      <c r="E1306" s="10" t="str">
        <f>HYPERLINK("https://twitter.com/Edu_snchzmlln/status/1070380662090317826","1070380662090317826")</f>
        <v>1070380662090317826</v>
      </c>
      <c r="F1306" s="11"/>
      <c r="G1306" s="16" t="s">
        <v>4729</v>
      </c>
      <c r="H1306" s="11"/>
      <c r="I1306" s="12">
        <v>0</v>
      </c>
      <c r="J1306" s="12">
        <v>0</v>
      </c>
      <c r="K1306" s="13" t="str">
        <f t="shared" si="299"/>
        <v>Twitter for Android</v>
      </c>
      <c r="L1306" s="12">
        <v>7</v>
      </c>
      <c r="M1306" s="12">
        <v>64</v>
      </c>
      <c r="N1306" s="12">
        <v>0</v>
      </c>
      <c r="O1306" s="14"/>
      <c r="P1306" s="6">
        <v>43439.602500000001</v>
      </c>
      <c r="Q1306" s="15" t="s">
        <v>4730</v>
      </c>
      <c r="R1306" s="17" t="s">
        <v>4731</v>
      </c>
      <c r="S1306" s="11"/>
      <c r="T1306" s="11"/>
      <c r="U1306" s="10" t="str">
        <f>HYPERLINK("https://pbs.twimg.com/profile_images/1070743727340171266/_Oax4sMU.jpg","View")</f>
        <v>View</v>
      </c>
    </row>
    <row r="1307" spans="1:21" ht="61.2">
      <c r="A1307" s="6">
        <v>43439.797395833331</v>
      </c>
      <c r="B1307" s="7" t="str">
        <f>HYPERLINK("https://twitter.com/AgrupacionCS","@AgrupacionCS")</f>
        <v>@AgrupacionCS</v>
      </c>
      <c r="C1307" s="8" t="s">
        <v>4732</v>
      </c>
      <c r="D1307" s="9" t="s">
        <v>4733</v>
      </c>
      <c r="E1307" s="10" t="str">
        <f>HYPERLINK("https://twitter.com/AgrupacionCS/status/1070379338808393729","1070379338808393729")</f>
        <v>1070379338808393729</v>
      </c>
      <c r="F1307" s="11"/>
      <c r="G1307" s="11"/>
      <c r="H1307" s="11"/>
      <c r="I1307" s="12">
        <v>20</v>
      </c>
      <c r="J1307" s="12">
        <v>31</v>
      </c>
      <c r="K1307" s="13" t="str">
        <f t="shared" si="299"/>
        <v>Twitter for Android</v>
      </c>
      <c r="L1307" s="12">
        <v>497</v>
      </c>
      <c r="M1307" s="12">
        <v>333</v>
      </c>
      <c r="N1307" s="12">
        <v>1</v>
      </c>
      <c r="O1307" s="14"/>
      <c r="P1307" s="6">
        <v>42951.826435185183</v>
      </c>
      <c r="Q1307" s="15" t="s">
        <v>1440</v>
      </c>
      <c r="R1307" s="17" t="s">
        <v>4734</v>
      </c>
      <c r="S1307" s="16" t="s">
        <v>4735</v>
      </c>
      <c r="T1307" s="11"/>
      <c r="U1307" s="10" t="str">
        <f>HYPERLINK("https://pbs.twimg.com/profile_images/903697585550094336/IjZxGiVt.jpg","View")</f>
        <v>View</v>
      </c>
    </row>
    <row r="1308" spans="1:21" ht="30.6">
      <c r="A1308" s="6">
        <v>43439.797002314815</v>
      </c>
      <c r="B1308" s="7" t="str">
        <f>HYPERLINK("https://twitter.com/pechospoliticos","@pechospoliticos")</f>
        <v>@pechospoliticos</v>
      </c>
      <c r="C1308" s="8" t="s">
        <v>4736</v>
      </c>
      <c r="D1308" s="9" t="s">
        <v>4737</v>
      </c>
      <c r="E1308" s="10" t="str">
        <f>HYPERLINK("https://twitter.com/pechospoliticos/status/1070379194276872192","1070379194276872192")</f>
        <v>1070379194276872192</v>
      </c>
      <c r="F1308" s="11"/>
      <c r="G1308" s="16" t="s">
        <v>4738</v>
      </c>
      <c r="H1308" s="11"/>
      <c r="I1308" s="12">
        <v>3</v>
      </c>
      <c r="J1308" s="12">
        <v>4</v>
      </c>
      <c r="K1308" s="13" t="str">
        <f>HYPERLINK("http://twitter.com/download/iphone","Twitter for iPhone")</f>
        <v>Twitter for iPhone</v>
      </c>
      <c r="L1308" s="12">
        <v>1974</v>
      </c>
      <c r="M1308" s="12">
        <v>2324</v>
      </c>
      <c r="N1308" s="12">
        <v>1</v>
      </c>
      <c r="O1308" s="14"/>
      <c r="P1308" s="6">
        <v>43275.967476851853</v>
      </c>
      <c r="Q1308" s="15" t="s">
        <v>4739</v>
      </c>
      <c r="R1308" s="17" t="s">
        <v>4740</v>
      </c>
      <c r="S1308" s="11"/>
      <c r="T1308" s="11"/>
      <c r="U1308" s="10" t="str">
        <f>HYPERLINK("https://pbs.twimg.com/profile_images/1046321536523800576/emoT7tKm.jpg","View")</f>
        <v>View</v>
      </c>
    </row>
    <row r="1309" spans="1:21" ht="40.799999999999997">
      <c r="A1309" s="6">
        <v>43439.795729166668</v>
      </c>
      <c r="B1309" s="7" t="str">
        <f>HYPERLINK("https://twitter.com/vis_quod","@vis_quod")</f>
        <v>@vis_quod</v>
      </c>
      <c r="C1309" s="8" t="s">
        <v>4741</v>
      </c>
      <c r="D1309" s="9" t="s">
        <v>4742</v>
      </c>
      <c r="E1309" s="10" t="str">
        <f>HYPERLINK("https://twitter.com/vis_quod/status/1070378734664998913","1070378734664998913")</f>
        <v>1070378734664998913</v>
      </c>
      <c r="F1309" s="11"/>
      <c r="G1309" s="11"/>
      <c r="H1309" s="11"/>
      <c r="I1309" s="12">
        <v>0</v>
      </c>
      <c r="J1309" s="12">
        <v>0</v>
      </c>
      <c r="K1309" s="13" t="str">
        <f t="shared" ref="K1309:K1310" si="300">HYPERLINK("http://twitter.com/download/android","Twitter for Android")</f>
        <v>Twitter for Android</v>
      </c>
      <c r="L1309" s="12">
        <v>973</v>
      </c>
      <c r="M1309" s="12">
        <v>916</v>
      </c>
      <c r="N1309" s="12">
        <v>6</v>
      </c>
      <c r="O1309" s="14"/>
      <c r="P1309" s="6">
        <v>41601.43513888889</v>
      </c>
      <c r="Q1309" s="11"/>
      <c r="R1309" s="17" t="s">
        <v>4743</v>
      </c>
      <c r="S1309" s="11"/>
      <c r="T1309" s="11"/>
      <c r="U1309" s="10" t="str">
        <f>HYPERLINK("https://pbs.twimg.com/profile_images/963298140588773376/hH0DqyBU.jpg","View")</f>
        <v>View</v>
      </c>
    </row>
    <row r="1310" spans="1:21" ht="30.6">
      <c r="A1310" s="6">
        <v>43439.795682870375</v>
      </c>
      <c r="B1310" s="7" t="str">
        <f>HYPERLINK("https://twitter.com/MalditaSea_Muc","@MalditaSea_Muc")</f>
        <v>@MalditaSea_Muc</v>
      </c>
      <c r="C1310" s="8" t="s">
        <v>4744</v>
      </c>
      <c r="D1310" s="9" t="s">
        <v>4745</v>
      </c>
      <c r="E1310" s="10" t="str">
        <f>HYPERLINK("https://twitter.com/MalditaSea_Muc/status/1070378717418061825","1070378717418061825")</f>
        <v>1070378717418061825</v>
      </c>
      <c r="F1310" s="11"/>
      <c r="G1310" s="16" t="s">
        <v>4746</v>
      </c>
      <c r="H1310" s="11"/>
      <c r="I1310" s="12">
        <v>0</v>
      </c>
      <c r="J1310" s="12">
        <v>0</v>
      </c>
      <c r="K1310" s="13" t="str">
        <f t="shared" si="300"/>
        <v>Twitter for Android</v>
      </c>
      <c r="L1310" s="12">
        <v>14</v>
      </c>
      <c r="M1310" s="12">
        <v>159</v>
      </c>
      <c r="N1310" s="12">
        <v>0</v>
      </c>
      <c r="O1310" s="14"/>
      <c r="P1310" s="6">
        <v>43435.908113425925</v>
      </c>
      <c r="Q1310" s="15" t="s">
        <v>4747</v>
      </c>
      <c r="R1310" s="17" t="s">
        <v>4748</v>
      </c>
      <c r="S1310" s="11"/>
      <c r="T1310" s="11"/>
      <c r="U1310" s="10" t="str">
        <f>HYPERLINK("https://pbs.twimg.com/profile_images/1070444539742220289/tx9lIxIa.jpg","View")</f>
        <v>View</v>
      </c>
    </row>
    <row r="1311" spans="1:21" ht="102">
      <c r="A1311" s="6">
        <v>43439.794363425928</v>
      </c>
      <c r="B1311" s="7" t="str">
        <f>HYPERLINK("https://twitter.com/Chusbrave","@Chusbrave")</f>
        <v>@Chusbrave</v>
      </c>
      <c r="C1311" s="8" t="s">
        <v>4749</v>
      </c>
      <c r="D1311" s="9" t="s">
        <v>4750</v>
      </c>
      <c r="E1311" s="10" t="str">
        <f>HYPERLINK("https://twitter.com/Chusbrave/status/1070378237291831303","1070378237291831303")</f>
        <v>1070378237291831303</v>
      </c>
      <c r="F1311" s="16" t="s">
        <v>4751</v>
      </c>
      <c r="G1311" s="11"/>
      <c r="H1311" s="11"/>
      <c r="I1311" s="12">
        <v>0</v>
      </c>
      <c r="J1311" s="12">
        <v>1</v>
      </c>
      <c r="K1311" s="13" t="str">
        <f>HYPERLINK("http://twitter.com/download/iphone","Twitter for iPhone")</f>
        <v>Twitter for iPhone</v>
      </c>
      <c r="L1311" s="12">
        <v>325</v>
      </c>
      <c r="M1311" s="12">
        <v>355</v>
      </c>
      <c r="N1311" s="12">
        <v>7</v>
      </c>
      <c r="O1311" s="14"/>
      <c r="P1311" s="6">
        <v>40855.030833333338</v>
      </c>
      <c r="Q1311" s="15" t="s">
        <v>612</v>
      </c>
      <c r="R1311" s="17" t="s">
        <v>4752</v>
      </c>
      <c r="S1311" s="11"/>
      <c r="T1311" s="11"/>
      <c r="U1311" s="10" t="str">
        <f>HYPERLINK("https://pbs.twimg.com/profile_images/1649077231/twitter.JPG","View")</f>
        <v>View</v>
      </c>
    </row>
    <row r="1312" spans="1:21" ht="81.599999999999994">
      <c r="A1312" s="6">
        <v>43439.79387731482</v>
      </c>
      <c r="B1312" s="7" t="str">
        <f>HYPERLINK("https://twitter.com/franchescorubio","@franchescorubio")</f>
        <v>@franchescorubio</v>
      </c>
      <c r="C1312" s="8" t="s">
        <v>3263</v>
      </c>
      <c r="D1312" s="9" t="s">
        <v>4753</v>
      </c>
      <c r="E1312" s="10" t="str">
        <f>HYPERLINK("https://twitter.com/franchescorubio/status/1070378061986754562","1070378061986754562")</f>
        <v>1070378061986754562</v>
      </c>
      <c r="F1312" s="16" t="s">
        <v>4754</v>
      </c>
      <c r="G1312" s="11"/>
      <c r="H1312" s="11"/>
      <c r="I1312" s="12">
        <v>0</v>
      </c>
      <c r="J1312" s="12">
        <v>0</v>
      </c>
      <c r="K1312" s="13" t="str">
        <f>HYPERLINK("http://twitter.com/download/android","Twitter for Android")</f>
        <v>Twitter for Android</v>
      </c>
      <c r="L1312" s="12">
        <v>488</v>
      </c>
      <c r="M1312" s="12">
        <v>678</v>
      </c>
      <c r="N1312" s="12">
        <v>6</v>
      </c>
      <c r="O1312" s="14"/>
      <c r="P1312" s="6">
        <v>40766.73060185185</v>
      </c>
      <c r="Q1312" s="15" t="s">
        <v>3266</v>
      </c>
      <c r="R1312" s="17" t="s">
        <v>3267</v>
      </c>
      <c r="S1312" s="11"/>
      <c r="T1312" s="11"/>
      <c r="U1312" s="10" t="str">
        <f>HYPERLINK("https://pbs.twimg.com/profile_images/1068520536290975747/XSFqzqjO.jpg","View")</f>
        <v>View</v>
      </c>
    </row>
    <row r="1313" spans="1:21" ht="51">
      <c r="A1313" s="6">
        <v>43439.79305555555</v>
      </c>
      <c r="B1313" s="7" t="str">
        <f>HYPERLINK("https://twitter.com/bitMomentum","@bitMomentum")</f>
        <v>@bitMomentum</v>
      </c>
      <c r="C1313" s="8" t="s">
        <v>82</v>
      </c>
      <c r="D1313" s="9" t="s">
        <v>4755</v>
      </c>
      <c r="E1313" s="10" t="str">
        <f>HYPERLINK("https://twitter.com/bitMomentum/status/1070377763478138885","1070377763478138885")</f>
        <v>1070377763478138885</v>
      </c>
      <c r="F1313" s="11"/>
      <c r="G1313" s="11"/>
      <c r="H1313" s="11"/>
      <c r="I1313" s="12">
        <v>0</v>
      </c>
      <c r="J1313" s="12">
        <v>0</v>
      </c>
      <c r="K1313" s="13" t="str">
        <f>HYPERLINK("http://www.bitmomentum.com","bitMomentum Bot")</f>
        <v>bitMomentum Bot</v>
      </c>
      <c r="L1313" s="12">
        <v>10253</v>
      </c>
      <c r="M1313" s="12">
        <v>1059</v>
      </c>
      <c r="N1313" s="12">
        <v>263</v>
      </c>
      <c r="O1313" s="14"/>
      <c r="P1313" s="6">
        <v>41608.667511574073</v>
      </c>
      <c r="Q1313" s="11"/>
      <c r="R1313" s="17" t="s">
        <v>84</v>
      </c>
      <c r="S1313" s="16" t="s">
        <v>85</v>
      </c>
      <c r="T1313" s="11"/>
      <c r="U1313" s="10" t="str">
        <f>HYPERLINK("https://pbs.twimg.com/profile_images/378800000862185241/20ij2H3u.png","View")</f>
        <v>View</v>
      </c>
    </row>
    <row r="1314" spans="1:21" ht="20.399999999999999">
      <c r="A1314" s="6">
        <v>43439.792754629627</v>
      </c>
      <c r="B1314" s="7" t="str">
        <f>HYPERLINK("https://twitter.com/MalditaSea_Muc","@MalditaSea_Muc")</f>
        <v>@MalditaSea_Muc</v>
      </c>
      <c r="C1314" s="8" t="s">
        <v>4744</v>
      </c>
      <c r="D1314" s="9" t="s">
        <v>4756</v>
      </c>
      <c r="E1314" s="10" t="str">
        <f>HYPERLINK("https://twitter.com/MalditaSea_Muc/status/1070377655118254086","1070377655118254086")</f>
        <v>1070377655118254086</v>
      </c>
      <c r="F1314" s="11"/>
      <c r="G1314" s="16" t="s">
        <v>4757</v>
      </c>
      <c r="H1314" s="11"/>
      <c r="I1314" s="12">
        <v>1</v>
      </c>
      <c r="J1314" s="12">
        <v>0</v>
      </c>
      <c r="K1314" s="13" t="str">
        <f>HYPERLINK("http://twitter.com/download/android","Twitter for Android")</f>
        <v>Twitter for Android</v>
      </c>
      <c r="L1314" s="12">
        <v>14</v>
      </c>
      <c r="M1314" s="12">
        <v>159</v>
      </c>
      <c r="N1314" s="12">
        <v>0</v>
      </c>
      <c r="O1314" s="14"/>
      <c r="P1314" s="6">
        <v>43435.908113425925</v>
      </c>
      <c r="Q1314" s="15" t="s">
        <v>4747</v>
      </c>
      <c r="R1314" s="17" t="s">
        <v>4748</v>
      </c>
      <c r="S1314" s="11"/>
      <c r="T1314" s="11"/>
      <c r="U1314" s="10" t="str">
        <f>HYPERLINK("https://pbs.twimg.com/profile_images/1070444539742220289/tx9lIxIa.jpg","View")</f>
        <v>View</v>
      </c>
    </row>
    <row r="1315" spans="1:21" ht="51">
      <c r="A1315" s="6">
        <v>43439.792361111111</v>
      </c>
      <c r="B1315" s="7" t="str">
        <f>HYPERLINK("https://twitter.com/bitMomentum","@bitMomentum")</f>
        <v>@bitMomentum</v>
      </c>
      <c r="C1315" s="8" t="s">
        <v>82</v>
      </c>
      <c r="D1315" s="9" t="s">
        <v>4758</v>
      </c>
      <c r="E1315" s="10" t="str">
        <f>HYPERLINK("https://twitter.com/bitMomentum/status/1070377512155447296","1070377512155447296")</f>
        <v>1070377512155447296</v>
      </c>
      <c r="F1315" s="11"/>
      <c r="G1315" s="11"/>
      <c r="H1315" s="11"/>
      <c r="I1315" s="12">
        <v>0</v>
      </c>
      <c r="J1315" s="12">
        <v>0</v>
      </c>
      <c r="K1315" s="13" t="str">
        <f>HYPERLINK("http://www.bitmomentum.com","bitMomentum Bot")</f>
        <v>bitMomentum Bot</v>
      </c>
      <c r="L1315" s="12">
        <v>10253</v>
      </c>
      <c r="M1315" s="12">
        <v>1059</v>
      </c>
      <c r="N1315" s="12">
        <v>263</v>
      </c>
      <c r="O1315" s="14"/>
      <c r="P1315" s="6">
        <v>41608.667511574073</v>
      </c>
      <c r="Q1315" s="11"/>
      <c r="R1315" s="17" t="s">
        <v>84</v>
      </c>
      <c r="S1315" s="16" t="s">
        <v>85</v>
      </c>
      <c r="T1315" s="11"/>
      <c r="U1315" s="10" t="str">
        <f>HYPERLINK("https://pbs.twimg.com/profile_images/378800000862185241/20ij2H3u.png","View")</f>
        <v>View</v>
      </c>
    </row>
    <row r="1316" spans="1:21" ht="51">
      <c r="A1316" s="6">
        <v>43439.791435185187</v>
      </c>
      <c r="B1316" s="7" t="str">
        <f>HYPERLINK("https://twitter.com/cbenavidesp","@cbenavidesp")</f>
        <v>@cbenavidesp</v>
      </c>
      <c r="C1316" s="8" t="s">
        <v>4449</v>
      </c>
      <c r="D1316" s="9" t="s">
        <v>4759</v>
      </c>
      <c r="E1316" s="10" t="str">
        <f>HYPERLINK("https://twitter.com/cbenavidesp/status/1070377177626144768","1070377177626144768")</f>
        <v>1070377177626144768</v>
      </c>
      <c r="F1316" s="11"/>
      <c r="G1316" s="11"/>
      <c r="H1316" s="11"/>
      <c r="I1316" s="12">
        <v>10</v>
      </c>
      <c r="J1316" s="12">
        <v>29</v>
      </c>
      <c r="K1316" s="13" t="str">
        <f t="shared" ref="K1316:K1317" si="301">HYPERLINK("http://twitter.com/download/android","Twitter for Android")</f>
        <v>Twitter for Android</v>
      </c>
      <c r="L1316" s="12">
        <v>2861</v>
      </c>
      <c r="M1316" s="12">
        <v>1676</v>
      </c>
      <c r="N1316" s="12">
        <v>101</v>
      </c>
      <c r="O1316" s="14"/>
      <c r="P1316" s="6">
        <v>40274.5237037037</v>
      </c>
      <c r="Q1316" s="15" t="s">
        <v>4452</v>
      </c>
      <c r="R1316" s="17" t="s">
        <v>4453</v>
      </c>
      <c r="S1316" s="16" t="s">
        <v>4454</v>
      </c>
      <c r="T1316" s="11"/>
      <c r="U1316" s="10" t="str">
        <f>HYPERLINK("https://pbs.twimg.com/profile_images/971705967913111552/9UoU_lSQ.jpg","View")</f>
        <v>View</v>
      </c>
    </row>
    <row r="1317" spans="1:21" ht="51">
      <c r="A1317" s="6">
        <v>43439.791354166664</v>
      </c>
      <c r="B1317" s="7" t="str">
        <f>HYPERLINK("https://twitter.com/Escapadasss","@Escapadasss")</f>
        <v>@Escapadasss</v>
      </c>
      <c r="C1317" s="8" t="s">
        <v>4760</v>
      </c>
      <c r="D1317" s="9" t="s">
        <v>4761</v>
      </c>
      <c r="E1317" s="10" t="str">
        <f>HYPERLINK("https://twitter.com/Escapadasss/status/1070377149109018630","1070377149109018630")</f>
        <v>1070377149109018630</v>
      </c>
      <c r="F1317" s="16" t="s">
        <v>4762</v>
      </c>
      <c r="G1317" s="11"/>
      <c r="H1317" s="11"/>
      <c r="I1317" s="12">
        <v>17</v>
      </c>
      <c r="J1317" s="12">
        <v>20</v>
      </c>
      <c r="K1317" s="13" t="str">
        <f t="shared" si="301"/>
        <v>Twitter for Android</v>
      </c>
      <c r="L1317" s="12">
        <v>175</v>
      </c>
      <c r="M1317" s="12">
        <v>348</v>
      </c>
      <c r="N1317" s="12">
        <v>1</v>
      </c>
      <c r="O1317" s="14"/>
      <c r="P1317" s="6">
        <v>43160.846909722226</v>
      </c>
      <c r="Q1317" s="11"/>
      <c r="R1317" s="17" t="s">
        <v>4763</v>
      </c>
      <c r="S1317" s="11"/>
      <c r="T1317" s="11"/>
      <c r="U1317" s="10" t="str">
        <f>HYPERLINK("https://pbs.twimg.com/profile_images/1042879281947463680/YCkqA0tU.jpg","View")</f>
        <v>View</v>
      </c>
    </row>
    <row r="1318" spans="1:21" ht="30.6">
      <c r="A1318" s="6">
        <v>43439.791076388894</v>
      </c>
      <c r="B1318" s="7" t="str">
        <f>HYPERLINK("https://twitter.com/negativo_stats","@negativo_stats")</f>
        <v>@negativo_stats</v>
      </c>
      <c r="C1318" s="8" t="s">
        <v>182</v>
      </c>
      <c r="D1318" s="9" t="s">
        <v>4764</v>
      </c>
      <c r="E1318" s="10" t="str">
        <f>HYPERLINK("https://twitter.com/negativo_stats/status/1070377047678160897","1070377047678160897")</f>
        <v>1070377047678160897</v>
      </c>
      <c r="F1318" s="11"/>
      <c r="G1318" s="16" t="s">
        <v>4765</v>
      </c>
      <c r="H1318" s="11"/>
      <c r="I1318" s="12">
        <v>0</v>
      </c>
      <c r="J1318" s="12">
        <v>0</v>
      </c>
      <c r="K1318" s="13" t="str">
        <f>HYPERLINK("http://kosmonautica.es","Política Negativa")</f>
        <v>Política Negativa</v>
      </c>
      <c r="L1318" s="12">
        <v>268</v>
      </c>
      <c r="M1318" s="12">
        <v>788</v>
      </c>
      <c r="N1318" s="12">
        <v>2</v>
      </c>
      <c r="O1318" s="14"/>
      <c r="P1318" s="6">
        <v>42171.770601851851</v>
      </c>
      <c r="Q1318" s="15" t="s">
        <v>185</v>
      </c>
      <c r="R1318" s="17" t="s">
        <v>186</v>
      </c>
      <c r="S1318" s="11"/>
      <c r="T1318" s="11"/>
      <c r="U1318" s="10" t="str">
        <f>HYPERLINK("https://pbs.twimg.com/profile_images/628553625984438272/e-VHyhP1.png","View")</f>
        <v>View</v>
      </c>
    </row>
    <row r="1319" spans="1:21" ht="13.2">
      <c r="A1319" s="6">
        <v>43439.791076388894</v>
      </c>
      <c r="B1319" s="7" t="str">
        <f>HYPERLINK("https://twitter.com/ferperrub","@ferperrub")</f>
        <v>@ferperrub</v>
      </c>
      <c r="C1319" s="8" t="s">
        <v>4766</v>
      </c>
      <c r="D1319" s="9" t="s">
        <v>4767</v>
      </c>
      <c r="E1319" s="10" t="str">
        <f>HYPERLINK("https://twitter.com/ferperrub/status/1070377047074181132","1070377047074181132")</f>
        <v>1070377047074181132</v>
      </c>
      <c r="F1319" s="16" t="s">
        <v>4768</v>
      </c>
      <c r="G1319" s="11"/>
      <c r="H1319" s="11"/>
      <c r="I1319" s="12">
        <v>0</v>
      </c>
      <c r="J1319" s="12">
        <v>0</v>
      </c>
      <c r="K1319" s="13" t="str">
        <f>HYPERLINK("http://twitter.com/download/android","Twitter for Android")</f>
        <v>Twitter for Android</v>
      </c>
      <c r="L1319" s="12">
        <v>2365</v>
      </c>
      <c r="M1319" s="12">
        <v>2604</v>
      </c>
      <c r="N1319" s="12">
        <v>16</v>
      </c>
      <c r="O1319" s="14"/>
      <c r="P1319" s="6">
        <v>41424.783564814818</v>
      </c>
      <c r="Q1319" s="15" t="s">
        <v>4769</v>
      </c>
      <c r="R1319" s="17" t="s">
        <v>4770</v>
      </c>
      <c r="S1319" s="11"/>
      <c r="T1319" s="11"/>
      <c r="U1319" s="10" t="str">
        <f>HYPERLINK("https://pbs.twimg.com/profile_images/643379235843932160/JoTqdUT4.jpg","View")</f>
        <v>View</v>
      </c>
    </row>
    <row r="1320" spans="1:21" ht="51">
      <c r="A1320" s="6">
        <v>43439.790104166663</v>
      </c>
      <c r="B1320" s="7" t="str">
        <f>HYPERLINK("https://twitter.com/SERVICIOSTRADUC","@SERVICIOSTRADUC")</f>
        <v>@SERVICIOSTRADUC</v>
      </c>
      <c r="C1320" s="8" t="s">
        <v>4771</v>
      </c>
      <c r="D1320" s="9" t="s">
        <v>4772</v>
      </c>
      <c r="E1320" s="10" t="str">
        <f>HYPERLINK("https://twitter.com/SERVICIOSTRADUC/status/1070376694475821056","1070376694475821056")</f>
        <v>1070376694475821056</v>
      </c>
      <c r="F1320" s="11"/>
      <c r="G1320" s="11"/>
      <c r="H1320" s="11"/>
      <c r="I1320" s="12">
        <v>0</v>
      </c>
      <c r="J1320" s="12">
        <v>0</v>
      </c>
      <c r="K1320" s="13" t="str">
        <f t="shared" ref="K1320:K1321" si="302">HYPERLINK("http://twitter.com","Twitter Web Client")</f>
        <v>Twitter Web Client</v>
      </c>
      <c r="L1320" s="12">
        <v>283</v>
      </c>
      <c r="M1320" s="12">
        <v>729</v>
      </c>
      <c r="N1320" s="12">
        <v>1</v>
      </c>
      <c r="O1320" s="14"/>
      <c r="P1320" s="6">
        <v>42932.986064814817</v>
      </c>
      <c r="Q1320" s="15" t="s">
        <v>426</v>
      </c>
      <c r="R1320" s="17" t="s">
        <v>4773</v>
      </c>
      <c r="S1320" s="11"/>
      <c r="T1320" s="11"/>
      <c r="U1320" s="10" t="str">
        <f>HYPERLINK("https://pbs.twimg.com/profile_images/886702965486219266/5G_-WWJS.jpg","View")</f>
        <v>View</v>
      </c>
    </row>
    <row r="1321" spans="1:21" ht="71.400000000000006">
      <c r="A1321" s="6">
        <v>43439.788680555561</v>
      </c>
      <c r="B1321" s="7" t="str">
        <f>HYPERLINK("https://twitter.com/Stop2Invasion","@Stop2Invasion")</f>
        <v>@Stop2Invasion</v>
      </c>
      <c r="C1321" s="8" t="s">
        <v>4774</v>
      </c>
      <c r="D1321" s="9" t="s">
        <v>4775</v>
      </c>
      <c r="E1321" s="10" t="str">
        <f>HYPERLINK("https://twitter.com/Stop2Invasion/status/1070376180933636096","1070376180933636096")</f>
        <v>1070376180933636096</v>
      </c>
      <c r="F1321" s="16" t="s">
        <v>4776</v>
      </c>
      <c r="G1321" s="16" t="s">
        <v>4777</v>
      </c>
      <c r="H1321" s="11"/>
      <c r="I1321" s="12">
        <v>165</v>
      </c>
      <c r="J1321" s="12">
        <v>239</v>
      </c>
      <c r="K1321" s="13" t="str">
        <f t="shared" si="302"/>
        <v>Twitter Web Client</v>
      </c>
      <c r="L1321" s="12">
        <v>3342</v>
      </c>
      <c r="M1321" s="12">
        <v>4761</v>
      </c>
      <c r="N1321" s="12">
        <v>15</v>
      </c>
      <c r="O1321" s="14"/>
      <c r="P1321" s="6">
        <v>43113.934444444443</v>
      </c>
      <c r="Q1321" s="15" t="s">
        <v>4778</v>
      </c>
      <c r="R1321" s="17" t="s">
        <v>4779</v>
      </c>
      <c r="S1321" s="11"/>
      <c r="T1321" s="11"/>
      <c r="U1321" s="10" t="str">
        <f>HYPERLINK("https://pbs.twimg.com/profile_images/1070673492960518144/95iPvGje.jpg","View")</f>
        <v>View</v>
      </c>
    </row>
    <row r="1322" spans="1:21" ht="51">
      <c r="A1322" s="6">
        <v>43439.787129629629</v>
      </c>
      <c r="B1322" s="7" t="str">
        <f>HYPERLINK("https://twitter.com/nandothor8","@nandothor8")</f>
        <v>@nandothor8</v>
      </c>
      <c r="C1322" s="8" t="s">
        <v>4780</v>
      </c>
      <c r="D1322" s="9" t="s">
        <v>4781</v>
      </c>
      <c r="E1322" s="10" t="str">
        <f>HYPERLINK("https://twitter.com/nandothor8/status/1070375615973462016","1070375615973462016")</f>
        <v>1070375615973462016</v>
      </c>
      <c r="F1322" s="11"/>
      <c r="G1322" s="11"/>
      <c r="H1322" s="11"/>
      <c r="I1322" s="12">
        <v>0</v>
      </c>
      <c r="J1322" s="12">
        <v>1</v>
      </c>
      <c r="K1322" s="13" t="str">
        <f>HYPERLINK("http://twitter.com/download/android","Twitter for Android")</f>
        <v>Twitter for Android</v>
      </c>
      <c r="L1322" s="12">
        <v>446</v>
      </c>
      <c r="M1322" s="12">
        <v>832</v>
      </c>
      <c r="N1322" s="12">
        <v>8</v>
      </c>
      <c r="O1322" s="14"/>
      <c r="P1322" s="6">
        <v>41498.903819444444</v>
      </c>
      <c r="Q1322" s="11"/>
      <c r="R1322" s="17" t="s">
        <v>4782</v>
      </c>
      <c r="S1322" s="11"/>
      <c r="T1322" s="11"/>
      <c r="U1322" s="10" t="str">
        <f>HYPERLINK("https://pbs.twimg.com/profile_images/486591715441401856/fs8W-EaE.jpeg","View")</f>
        <v>View</v>
      </c>
    </row>
    <row r="1323" spans="1:21" ht="51">
      <c r="A1323" s="6">
        <v>43439.786620370374</v>
      </c>
      <c r="B1323" s="7" t="str">
        <f>HYPERLINK("https://twitter.com/soymarcosalonso","@soymarcosalonso")</f>
        <v>@soymarcosalonso</v>
      </c>
      <c r="C1323" s="8" t="s">
        <v>4783</v>
      </c>
      <c r="D1323" s="9" t="s">
        <v>4784</v>
      </c>
      <c r="E1323" s="10" t="str">
        <f>HYPERLINK("https://twitter.com/soymarcosalonso/status/1070375432162304000","1070375432162304000")</f>
        <v>1070375432162304000</v>
      </c>
      <c r="F1323" s="15" t="s">
        <v>3938</v>
      </c>
      <c r="G1323" s="11"/>
      <c r="H1323" s="11"/>
      <c r="I1323" s="12">
        <v>2</v>
      </c>
      <c r="J1323" s="12">
        <v>5</v>
      </c>
      <c r="K1323" s="13" t="str">
        <f>HYPERLINK("http://twitter.com/download/iphone","Twitter for iPhone")</f>
        <v>Twitter for iPhone</v>
      </c>
      <c r="L1323" s="12">
        <v>767</v>
      </c>
      <c r="M1323" s="12">
        <v>214</v>
      </c>
      <c r="N1323" s="12">
        <v>0</v>
      </c>
      <c r="O1323" s="14"/>
      <c r="P1323" s="6">
        <v>42210.619710648149</v>
      </c>
      <c r="Q1323" s="15" t="s">
        <v>4785</v>
      </c>
      <c r="R1323" s="17" t="s">
        <v>4786</v>
      </c>
      <c r="S1323" s="16" t="s">
        <v>428</v>
      </c>
      <c r="T1323" s="11"/>
      <c r="U1323" s="10" t="str">
        <f>HYPERLINK("https://pbs.twimg.com/profile_images/1040590721735172096/GHpzNIja.jpg","View")</f>
        <v>View</v>
      </c>
    </row>
    <row r="1324" spans="1:21" ht="81.599999999999994">
      <c r="A1324" s="6">
        <v>43439.783622685187</v>
      </c>
      <c r="B1324" s="7" t="str">
        <f>HYPERLINK("https://twitter.com/joanmiquelm4","@joanmiquelm4")</f>
        <v>@joanmiquelm4</v>
      </c>
      <c r="C1324" s="8" t="s">
        <v>4787</v>
      </c>
      <c r="D1324" s="9" t="s">
        <v>4788</v>
      </c>
      <c r="E1324" s="10" t="str">
        <f>HYPERLINK("https://twitter.com/joanmiquelm4/status/1070374346957443072","1070374346957443072")</f>
        <v>1070374346957443072</v>
      </c>
      <c r="F1324" s="16" t="s">
        <v>4789</v>
      </c>
      <c r="G1324" s="16" t="s">
        <v>4790</v>
      </c>
      <c r="H1324" s="11"/>
      <c r="I1324" s="12">
        <v>0</v>
      </c>
      <c r="J1324" s="12">
        <v>0</v>
      </c>
      <c r="K1324" s="13" t="str">
        <f>HYPERLINK("http://twitter.com/download/android","Twitter for Android")</f>
        <v>Twitter for Android</v>
      </c>
      <c r="L1324" s="12">
        <v>193</v>
      </c>
      <c r="M1324" s="12">
        <v>250</v>
      </c>
      <c r="N1324" s="12">
        <v>22</v>
      </c>
      <c r="O1324" s="14"/>
      <c r="P1324" s="6">
        <v>41963.710092592592</v>
      </c>
      <c r="Q1324" s="11"/>
      <c r="R1324" s="17" t="s">
        <v>4791</v>
      </c>
      <c r="S1324" s="11"/>
      <c r="T1324" s="11"/>
      <c r="U1324" s="10" t="str">
        <f>HYPERLINK("https://pbs.twimg.com/profile_images/535464079948017666/sd81e-bA.jpeg","View")</f>
        <v>View</v>
      </c>
    </row>
    <row r="1325" spans="1:21" ht="20.399999999999999">
      <c r="A1325" s="6">
        <v>43439.783449074079</v>
      </c>
      <c r="B1325" s="7" t="str">
        <f>HYPERLINK("https://twitter.com/Marga_rdgz","@Marga_rdgz")</f>
        <v>@Marga_rdgz</v>
      </c>
      <c r="C1325" s="8" t="s">
        <v>4792</v>
      </c>
      <c r="D1325" s="9" t="s">
        <v>4793</v>
      </c>
      <c r="E1325" s="10" t="str">
        <f>HYPERLINK("https://twitter.com/Marga_rdgz/status/1070374282008633344","1070374282008633344")</f>
        <v>1070374282008633344</v>
      </c>
      <c r="F1325" s="11"/>
      <c r="G1325" s="11"/>
      <c r="H1325" s="11"/>
      <c r="I1325" s="12">
        <v>0</v>
      </c>
      <c r="J1325" s="12">
        <v>0</v>
      </c>
      <c r="K1325" s="13" t="str">
        <f>HYPERLINK("http://twitter.com/download/iphone","Twitter for iPhone")</f>
        <v>Twitter for iPhone</v>
      </c>
      <c r="L1325" s="12">
        <v>230</v>
      </c>
      <c r="M1325" s="12">
        <v>396</v>
      </c>
      <c r="N1325" s="12">
        <v>4</v>
      </c>
      <c r="O1325" s="14"/>
      <c r="P1325" s="6">
        <v>40369.819166666668</v>
      </c>
      <c r="Q1325" s="15" t="s">
        <v>185</v>
      </c>
      <c r="R1325" s="17" t="s">
        <v>4794</v>
      </c>
      <c r="S1325" s="11"/>
      <c r="T1325" s="11"/>
      <c r="U1325" s="10" t="str">
        <f>HYPERLINK("https://pbs.twimg.com/profile_images/724263895603523584/8I80_3vD.jpg","View")</f>
        <v>View</v>
      </c>
    </row>
    <row r="1326" spans="1:21" ht="40.799999999999997">
      <c r="A1326" s="6">
        <v>43439.78329861111</v>
      </c>
      <c r="B1326" s="7" t="str">
        <f>HYPERLINK("https://twitter.com/adrianlardiez","@adrianlardiez")</f>
        <v>@adrianlardiez</v>
      </c>
      <c r="C1326" s="8" t="s">
        <v>4795</v>
      </c>
      <c r="D1326" s="9" t="s">
        <v>4796</v>
      </c>
      <c r="E1326" s="10" t="str">
        <f>HYPERLINK("https://twitter.com/adrianlardiez/status/1070374228355149824","1070374228355149824")</f>
        <v>1070374228355149824</v>
      </c>
      <c r="F1326" s="16" t="s">
        <v>3540</v>
      </c>
      <c r="G1326" s="11"/>
      <c r="H1326" s="11"/>
      <c r="I1326" s="12">
        <v>5</v>
      </c>
      <c r="J1326" s="12">
        <v>9</v>
      </c>
      <c r="K1326" s="13" t="str">
        <f t="shared" ref="K1326:K1327" si="303">HYPERLINK("http://twitter.com/download/android","Twitter for Android")</f>
        <v>Twitter for Android</v>
      </c>
      <c r="L1326" s="12">
        <v>935</v>
      </c>
      <c r="M1326" s="12">
        <v>669</v>
      </c>
      <c r="N1326" s="12">
        <v>14</v>
      </c>
      <c r="O1326" s="14"/>
      <c r="P1326" s="6">
        <v>41166.487037037034</v>
      </c>
      <c r="Q1326" s="15" t="s">
        <v>185</v>
      </c>
      <c r="R1326" s="17" t="s">
        <v>4797</v>
      </c>
      <c r="S1326" s="16" t="s">
        <v>4798</v>
      </c>
      <c r="T1326" s="11"/>
      <c r="U1326" s="10" t="str">
        <f>HYPERLINK("https://pbs.twimg.com/profile_images/856600281500483585/1rML7L20.jpg","View")</f>
        <v>View</v>
      </c>
    </row>
    <row r="1327" spans="1:21" ht="20.399999999999999">
      <c r="A1327" s="6">
        <v>43439.782870370371</v>
      </c>
      <c r="B1327" s="7" t="str">
        <f>HYPERLINK("https://twitter.com/NievesCasas3","@NievesCasas3")</f>
        <v>@NievesCasas3</v>
      </c>
      <c r="C1327" s="8" t="s">
        <v>4799</v>
      </c>
      <c r="D1327" s="9" t="s">
        <v>4800</v>
      </c>
      <c r="E1327" s="10" t="str">
        <f>HYPERLINK("https://twitter.com/NievesCasas3/status/1070374075254611970","1070374075254611970")</f>
        <v>1070374075254611970</v>
      </c>
      <c r="F1327" s="11"/>
      <c r="G1327" s="11"/>
      <c r="H1327" s="11"/>
      <c r="I1327" s="12">
        <v>0</v>
      </c>
      <c r="J1327" s="12">
        <v>0</v>
      </c>
      <c r="K1327" s="13" t="str">
        <f t="shared" si="303"/>
        <v>Twitter for Android</v>
      </c>
      <c r="L1327" s="12">
        <v>127</v>
      </c>
      <c r="M1327" s="12">
        <v>198</v>
      </c>
      <c r="N1327" s="12">
        <v>0</v>
      </c>
      <c r="O1327" s="14"/>
      <c r="P1327" s="6">
        <v>43325.805613425924</v>
      </c>
      <c r="Q1327" s="15" t="s">
        <v>2817</v>
      </c>
      <c r="R1327" s="17" t="s">
        <v>4801</v>
      </c>
      <c r="S1327" s="11"/>
      <c r="T1327" s="11"/>
      <c r="U1327" s="10" t="str">
        <f>HYPERLINK("https://pbs.twimg.com/profile_images/1070402348185501697/mi40O5qz.jpg","View")</f>
        <v>View</v>
      </c>
    </row>
    <row r="1328" spans="1:21" ht="40.799999999999997">
      <c r="A1328" s="6">
        <v>43439.78224537037</v>
      </c>
      <c r="B1328" s="7" t="str">
        <f>HYPERLINK("https://twitter.com/El_Plural","@El_Plural")</f>
        <v>@El_Plural</v>
      </c>
      <c r="C1328" s="8" t="s">
        <v>4802</v>
      </c>
      <c r="D1328" s="9" t="s">
        <v>4803</v>
      </c>
      <c r="E1328" s="10" t="str">
        <f>HYPERLINK("https://twitter.com/El_Plural/status/1070373849601097729","1070373849601097729")</f>
        <v>1070373849601097729</v>
      </c>
      <c r="F1328" s="16" t="s">
        <v>3540</v>
      </c>
      <c r="G1328" s="11"/>
      <c r="H1328" s="11"/>
      <c r="I1328" s="12">
        <v>50</v>
      </c>
      <c r="J1328" s="12">
        <v>45</v>
      </c>
      <c r="K1328" s="13" t="str">
        <f>HYPERLINK("https://about.twitter.com/products/tweetdeck","TweetDeck")</f>
        <v>TweetDeck</v>
      </c>
      <c r="L1328" s="12">
        <v>72031</v>
      </c>
      <c r="M1328" s="12">
        <v>1650</v>
      </c>
      <c r="N1328" s="12">
        <v>2018</v>
      </c>
      <c r="O1328" s="14"/>
      <c r="P1328" s="6">
        <v>40351.51053240741</v>
      </c>
      <c r="Q1328" s="15" t="s">
        <v>197</v>
      </c>
      <c r="R1328" s="17" t="s">
        <v>4804</v>
      </c>
      <c r="S1328" s="16" t="s">
        <v>4805</v>
      </c>
      <c r="T1328" s="11"/>
      <c r="U1328" s="10" t="str">
        <f>HYPERLINK("https://pbs.twimg.com/profile_images/1017707018138857473/kUt8X2tn.jpg","View")</f>
        <v>View</v>
      </c>
    </row>
    <row r="1329" spans="1:21" ht="40.799999999999997">
      <c r="A1329" s="6">
        <v>43439.781736111108</v>
      </c>
      <c r="B1329" s="7" t="str">
        <f>HYPERLINK("https://twitter.com/catapum","@catapum")</f>
        <v>@catapum</v>
      </c>
      <c r="C1329" s="8" t="s">
        <v>4806</v>
      </c>
      <c r="D1329" s="9" t="s">
        <v>4807</v>
      </c>
      <c r="E1329" s="10" t="str">
        <f>HYPERLINK("https://twitter.com/catapum/status/1070373661545259008","1070373661545259008")</f>
        <v>1070373661545259008</v>
      </c>
      <c r="F1329" s="11"/>
      <c r="G1329" s="11"/>
      <c r="H1329" s="11"/>
      <c r="I1329" s="12">
        <v>0</v>
      </c>
      <c r="J1329" s="12">
        <v>1</v>
      </c>
      <c r="K1329" s="13" t="str">
        <f>HYPERLINK("http://twitter.com/download/iphone","Twitter for iPhone")</f>
        <v>Twitter for iPhone</v>
      </c>
      <c r="L1329" s="12">
        <v>199</v>
      </c>
      <c r="M1329" s="12">
        <v>560</v>
      </c>
      <c r="N1329" s="12">
        <v>6</v>
      </c>
      <c r="O1329" s="14"/>
      <c r="P1329" s="6">
        <v>39471.570925925924</v>
      </c>
      <c r="Q1329" s="15" t="s">
        <v>4808</v>
      </c>
      <c r="R1329" s="17" t="s">
        <v>4809</v>
      </c>
      <c r="S1329" s="11"/>
      <c r="T1329" s="11"/>
      <c r="U1329" s="10" t="str">
        <f>HYPERLINK("https://pbs.twimg.com/profile_images/1713133231/image.jpg","View")</f>
        <v>View</v>
      </c>
    </row>
    <row r="1330" spans="1:21" ht="122.4">
      <c r="A1330" s="6">
        <v>43439.781319444446</v>
      </c>
      <c r="B1330" s="7" t="str">
        <f>HYPERLINK("https://twitter.com/UriCAT84","@UriCAT84")</f>
        <v>@UriCAT84</v>
      </c>
      <c r="C1330" s="8" t="s">
        <v>135</v>
      </c>
      <c r="D1330" s="9" t="s">
        <v>4810</v>
      </c>
      <c r="E1330" s="10" t="str">
        <f>HYPERLINK("https://twitter.com/UriCAT84/status/1070373510709694466","1070373510709694466")</f>
        <v>1070373510709694466</v>
      </c>
      <c r="F1330" s="16" t="s">
        <v>4811</v>
      </c>
      <c r="G1330" s="16" t="s">
        <v>4812</v>
      </c>
      <c r="H1330" s="11"/>
      <c r="I1330" s="12">
        <v>0</v>
      </c>
      <c r="J1330" s="12">
        <v>0</v>
      </c>
      <c r="K1330" s="13" t="str">
        <f t="shared" ref="K1330:K1331" si="304">HYPERLINK("http://twitter.com/download/android","Twitter for Android")</f>
        <v>Twitter for Android</v>
      </c>
      <c r="L1330" s="12">
        <v>1229</v>
      </c>
      <c r="M1330" s="12">
        <v>2065</v>
      </c>
      <c r="N1330" s="12">
        <v>0</v>
      </c>
      <c r="O1330" s="14"/>
      <c r="P1330" s="6">
        <v>40701.65960648148</v>
      </c>
      <c r="Q1330" s="11"/>
      <c r="R1330" s="18"/>
      <c r="S1330" s="11"/>
      <c r="T1330" s="11"/>
      <c r="U1330" s="10" t="str">
        <f>HYPERLINK("https://pbs.twimg.com/profile_images/915586738516561920/C960_H5-.jpg","View")</f>
        <v>View</v>
      </c>
    </row>
    <row r="1331" spans="1:21" ht="40.799999999999997">
      <c r="A1331" s="6">
        <v>43439.781157407408</v>
      </c>
      <c r="B1331" s="7" t="str">
        <f>HYPERLINK("https://twitter.com/JordanBlink97","@JordanBlink97")</f>
        <v>@JordanBlink97</v>
      </c>
      <c r="C1331" s="8" t="s">
        <v>4813</v>
      </c>
      <c r="D1331" s="9" t="s">
        <v>4814</v>
      </c>
      <c r="E1331" s="10" t="str">
        <f>HYPERLINK("https://twitter.com/JordanBlink97/status/1070373453335797762","1070373453335797762")</f>
        <v>1070373453335797762</v>
      </c>
      <c r="F1331" s="11"/>
      <c r="G1331" s="16" t="s">
        <v>4815</v>
      </c>
      <c r="H1331" s="11"/>
      <c r="I1331" s="12">
        <v>2</v>
      </c>
      <c r="J1331" s="12">
        <v>4</v>
      </c>
      <c r="K1331" s="13" t="str">
        <f t="shared" si="304"/>
        <v>Twitter for Android</v>
      </c>
      <c r="L1331" s="12">
        <v>402</v>
      </c>
      <c r="M1331" s="12">
        <v>242</v>
      </c>
      <c r="N1331" s="12">
        <v>4</v>
      </c>
      <c r="O1331" s="14"/>
      <c r="P1331" s="6">
        <v>41318.790381944447</v>
      </c>
      <c r="Q1331" s="15" t="s">
        <v>197</v>
      </c>
      <c r="R1331" s="17" t="s">
        <v>4816</v>
      </c>
      <c r="S1331" s="16" t="s">
        <v>4817</v>
      </c>
      <c r="T1331" s="11"/>
      <c r="U1331" s="10" t="str">
        <f>HYPERLINK("https://pbs.twimg.com/profile_images/1038866278193262593/niAl8vaR.jpg","View")</f>
        <v>View</v>
      </c>
    </row>
    <row r="1332" spans="1:21" ht="40.799999999999997">
      <c r="A1332" s="6">
        <v>43439.77715277778</v>
      </c>
      <c r="B1332" s="7" t="str">
        <f>HYPERLINK("https://twitter.com/Borgi7","@Borgi7")</f>
        <v>@Borgi7</v>
      </c>
      <c r="C1332" s="8" t="s">
        <v>4818</v>
      </c>
      <c r="D1332" s="9" t="s">
        <v>4819</v>
      </c>
      <c r="E1332" s="10" t="str">
        <f>HYPERLINK("https://twitter.com/Borgi7/status/1070372003750834178","1070372003750834178")</f>
        <v>1070372003750834178</v>
      </c>
      <c r="F1332" s="15" t="s">
        <v>1001</v>
      </c>
      <c r="G1332" s="16" t="s">
        <v>1002</v>
      </c>
      <c r="H1332" s="11"/>
      <c r="I1332" s="12">
        <v>1</v>
      </c>
      <c r="J1332" s="12">
        <v>1</v>
      </c>
      <c r="K1332" s="13" t="str">
        <f t="shared" ref="K1332:K1333" si="305">HYPERLINK("http://twitter.com/download/iphone","Twitter for iPhone")</f>
        <v>Twitter for iPhone</v>
      </c>
      <c r="L1332" s="12">
        <v>683</v>
      </c>
      <c r="M1332" s="12">
        <v>359</v>
      </c>
      <c r="N1332" s="12">
        <v>8</v>
      </c>
      <c r="O1332" s="14"/>
      <c r="P1332" s="6">
        <v>40568.627569444448</v>
      </c>
      <c r="Q1332" s="15" t="s">
        <v>2154</v>
      </c>
      <c r="R1332" s="18"/>
      <c r="S1332" s="11"/>
      <c r="T1332" s="11"/>
      <c r="U1332" s="10" t="str">
        <f>HYPERLINK("https://pbs.twimg.com/profile_images/631440927643566080/T0F1jsgB.jpg","View")</f>
        <v>View</v>
      </c>
    </row>
    <row r="1333" spans="1:21" ht="51">
      <c r="A1333" s="6">
        <v>43439.776643518519</v>
      </c>
      <c r="B1333" s="7" t="str">
        <f>HYPERLINK("https://twitter.com/ConchaTravesedo","@ConchaTravesedo")</f>
        <v>@ConchaTravesedo</v>
      </c>
      <c r="C1333" s="8" t="s">
        <v>3570</v>
      </c>
      <c r="D1333" s="9" t="s">
        <v>4820</v>
      </c>
      <c r="E1333" s="10" t="str">
        <f>HYPERLINK("https://twitter.com/ConchaTravesedo/status/1070371817842446337","1070371817842446337")</f>
        <v>1070371817842446337</v>
      </c>
      <c r="F1333" s="11"/>
      <c r="G1333" s="11"/>
      <c r="H1333" s="11"/>
      <c r="I1333" s="12">
        <v>0</v>
      </c>
      <c r="J1333" s="12">
        <v>0</v>
      </c>
      <c r="K1333" s="13" t="str">
        <f t="shared" si="305"/>
        <v>Twitter for iPhone</v>
      </c>
      <c r="L1333" s="12">
        <v>1514</v>
      </c>
      <c r="M1333" s="12">
        <v>907</v>
      </c>
      <c r="N1333" s="12">
        <v>56</v>
      </c>
      <c r="O1333" s="14"/>
      <c r="P1333" s="6">
        <v>40754.730821759258</v>
      </c>
      <c r="Q1333" s="15" t="s">
        <v>3574</v>
      </c>
      <c r="R1333" s="17" t="s">
        <v>3575</v>
      </c>
      <c r="S1333" s="11"/>
      <c r="T1333" s="11"/>
      <c r="U1333" s="10" t="str">
        <f>HYPERLINK("https://pbs.twimg.com/profile_images/922817946447241216/X9ldWhRH.jpg","View")</f>
        <v>View</v>
      </c>
    </row>
    <row r="1334" spans="1:21" ht="30.6">
      <c r="A1334" s="6">
        <v>43439.774456018524</v>
      </c>
      <c r="B1334" s="7" t="str">
        <f>HYPERLINK("https://twitter.com/sueldospublicos","@sueldospublicos")</f>
        <v>@sueldospublicos</v>
      </c>
      <c r="C1334" s="8" t="s">
        <v>4821</v>
      </c>
      <c r="D1334" s="9" t="s">
        <v>4822</v>
      </c>
      <c r="E1334" s="10" t="str">
        <f>HYPERLINK("https://twitter.com/sueldospublicos/status/1070371024301187072","1070371024301187072")</f>
        <v>1070371024301187072</v>
      </c>
      <c r="F1334" s="16" t="s">
        <v>4823</v>
      </c>
      <c r="G1334" s="16" t="s">
        <v>4824</v>
      </c>
      <c r="H1334" s="11"/>
      <c r="I1334" s="12">
        <v>0</v>
      </c>
      <c r="J1334" s="12">
        <v>0</v>
      </c>
      <c r="K1334" s="13" t="str">
        <f>HYPERLINK("https://www.hootsuite.com","Hootsuite Inc.")</f>
        <v>Hootsuite Inc.</v>
      </c>
      <c r="L1334" s="12">
        <v>36049</v>
      </c>
      <c r="M1334" s="12">
        <v>1482</v>
      </c>
      <c r="N1334" s="12">
        <v>856</v>
      </c>
      <c r="O1334" s="14"/>
      <c r="P1334" s="6">
        <v>40852.512743055559</v>
      </c>
      <c r="Q1334" s="15" t="s">
        <v>197</v>
      </c>
      <c r="R1334" s="17" t="s">
        <v>4825</v>
      </c>
      <c r="S1334" s="16" t="s">
        <v>4826</v>
      </c>
      <c r="T1334" s="11"/>
      <c r="U1334" s="10" t="str">
        <f>HYPERLINK("https://pbs.twimg.com/profile_images/2164564510/twitter_logo.jpg","View")</f>
        <v>View</v>
      </c>
    </row>
    <row r="1335" spans="1:21" ht="61.2">
      <c r="A1335" s="6">
        <v>43439.771203703705</v>
      </c>
      <c r="B1335" s="7" t="str">
        <f>HYPERLINK("https://twitter.com/david82vk","@david82vk")</f>
        <v>@david82vk</v>
      </c>
      <c r="C1335" s="8" t="s">
        <v>4827</v>
      </c>
      <c r="D1335" s="9" t="s">
        <v>4828</v>
      </c>
      <c r="E1335" s="10" t="str">
        <f>HYPERLINK("https://twitter.com/david82vk/status/1070369848222461952","1070369848222461952")</f>
        <v>1070369848222461952</v>
      </c>
      <c r="F1335" s="15" t="s">
        <v>4829</v>
      </c>
      <c r="G1335" s="16" t="s">
        <v>4830</v>
      </c>
      <c r="H1335" s="11"/>
      <c r="I1335" s="12">
        <v>0</v>
      </c>
      <c r="J1335" s="12">
        <v>0</v>
      </c>
      <c r="K1335" s="13" t="str">
        <f>HYPERLINK("http://twitter.com/download/iphone","Twitter for iPhone")</f>
        <v>Twitter for iPhone</v>
      </c>
      <c r="L1335" s="12">
        <v>37</v>
      </c>
      <c r="M1335" s="12">
        <v>204</v>
      </c>
      <c r="N1335" s="12">
        <v>2</v>
      </c>
      <c r="O1335" s="14"/>
      <c r="P1335" s="6">
        <v>42171.001226851848</v>
      </c>
      <c r="Q1335" s="15" t="s">
        <v>157</v>
      </c>
      <c r="R1335" s="18"/>
      <c r="S1335" s="11"/>
      <c r="T1335" s="11"/>
      <c r="U1335" s="10" t="str">
        <f>HYPERLINK("https://pbs.twimg.com/profile_images/1002887022116327424/JeW-9swT.jpg","View")</f>
        <v>View</v>
      </c>
    </row>
    <row r="1336" spans="1:21" ht="40.799999999999997">
      <c r="A1336" s="6">
        <v>43439.770474537036</v>
      </c>
      <c r="B1336" s="7" t="str">
        <f>HYPERLINK("https://twitter.com/CorsariodHierro","@CorsariodHierro")</f>
        <v>@CorsariodHierro</v>
      </c>
      <c r="C1336" s="8" t="s">
        <v>4474</v>
      </c>
      <c r="D1336" s="9" t="s">
        <v>4831</v>
      </c>
      <c r="E1336" s="10" t="str">
        <f>HYPERLINK("https://twitter.com/CorsariodHierro/status/1070369583515820032","1070369583515820032")</f>
        <v>1070369583515820032</v>
      </c>
      <c r="F1336" s="16" t="s">
        <v>4832</v>
      </c>
      <c r="G1336" s="11"/>
      <c r="H1336" s="11"/>
      <c r="I1336" s="12">
        <v>0</v>
      </c>
      <c r="J1336" s="12">
        <v>0</v>
      </c>
      <c r="K1336" s="13" t="str">
        <f>HYPERLINK("http://twitter.com","Twitter Web Client")</f>
        <v>Twitter Web Client</v>
      </c>
      <c r="L1336" s="12">
        <v>87</v>
      </c>
      <c r="M1336" s="12">
        <v>141</v>
      </c>
      <c r="N1336" s="12">
        <v>0</v>
      </c>
      <c r="O1336" s="14"/>
      <c r="P1336" s="6">
        <v>40246.575590277775</v>
      </c>
      <c r="Q1336" s="11"/>
      <c r="R1336" s="17" t="s">
        <v>4477</v>
      </c>
      <c r="S1336" s="11"/>
      <c r="T1336" s="11"/>
      <c r="U1336" s="10" t="str">
        <f>HYPERLINK("https://pbs.twimg.com/profile_images/1051397975581306880/srLVBC-V.jpg","View")</f>
        <v>View</v>
      </c>
    </row>
    <row r="1337" spans="1:21" ht="40.799999999999997">
      <c r="A1337" s="6">
        <v>43439.770185185189</v>
      </c>
      <c r="B1337" s="7" t="str">
        <f>HYPERLINK("https://twitter.com/Ramon1066","@Ramon1066")</f>
        <v>@Ramon1066</v>
      </c>
      <c r="C1337" s="8" t="s">
        <v>4833</v>
      </c>
      <c r="D1337" s="9" t="s">
        <v>4834</v>
      </c>
      <c r="E1337" s="10" t="str">
        <f>HYPERLINK("https://twitter.com/Ramon1066/status/1070369477127270401","1070369477127270401")</f>
        <v>1070369477127270401</v>
      </c>
      <c r="F1337" s="11"/>
      <c r="G1337" s="16" t="s">
        <v>4835</v>
      </c>
      <c r="H1337" s="11"/>
      <c r="I1337" s="12">
        <v>1</v>
      </c>
      <c r="J1337" s="12">
        <v>1</v>
      </c>
      <c r="K1337" s="13" t="str">
        <f>HYPERLINK("http://twitter.com/download/android","Twitter for Android")</f>
        <v>Twitter for Android</v>
      </c>
      <c r="L1337" s="12">
        <v>195</v>
      </c>
      <c r="M1337" s="12">
        <v>109</v>
      </c>
      <c r="N1337" s="12">
        <v>8</v>
      </c>
      <c r="O1337" s="14"/>
      <c r="P1337" s="6">
        <v>40706.41547453704</v>
      </c>
      <c r="Q1337" s="15" t="s">
        <v>4836</v>
      </c>
      <c r="R1337" s="17" t="s">
        <v>4837</v>
      </c>
      <c r="S1337" s="16" t="s">
        <v>4838</v>
      </c>
      <c r="T1337" s="11"/>
      <c r="U1337" s="10" t="str">
        <f>HYPERLINK("https://pbs.twimg.com/profile_images/1028718570270806016/dBlAM4pD.jpg","View")</f>
        <v>View</v>
      </c>
    </row>
    <row r="1338" spans="1:21" ht="51">
      <c r="A1338" s="6">
        <v>43439.769953703704</v>
      </c>
      <c r="B1338" s="7" t="str">
        <f>HYPERLINK("https://twitter.com/IglesiasFatima","@IglesiasFatima")</f>
        <v>@IglesiasFatima</v>
      </c>
      <c r="C1338" s="8" t="s">
        <v>4839</v>
      </c>
      <c r="D1338" s="9" t="s">
        <v>4840</v>
      </c>
      <c r="E1338" s="10" t="str">
        <f>HYPERLINK("https://twitter.com/IglesiasFatima/status/1070369392377122816","1070369392377122816")</f>
        <v>1070369392377122816</v>
      </c>
      <c r="F1338" s="11"/>
      <c r="G1338" s="11"/>
      <c r="H1338" s="11"/>
      <c r="I1338" s="12">
        <v>1</v>
      </c>
      <c r="J1338" s="12">
        <v>2</v>
      </c>
      <c r="K1338" s="13" t="str">
        <f>HYPERLINK("http://twitter.com/download/iphone","Twitter for iPhone")</f>
        <v>Twitter for iPhone</v>
      </c>
      <c r="L1338" s="12">
        <v>1138</v>
      </c>
      <c r="M1338" s="12">
        <v>1044</v>
      </c>
      <c r="N1338" s="12">
        <v>24</v>
      </c>
      <c r="O1338" s="14"/>
      <c r="P1338" s="6">
        <v>41079.508275462962</v>
      </c>
      <c r="Q1338" s="15" t="s">
        <v>612</v>
      </c>
      <c r="R1338" s="17" t="s">
        <v>4841</v>
      </c>
      <c r="S1338" s="16" t="s">
        <v>4842</v>
      </c>
      <c r="T1338" s="11"/>
      <c r="U1338" s="10" t="str">
        <f>HYPERLINK("https://pbs.twimg.com/profile_images/1020056845090738176/CppStExy.jpg","View")</f>
        <v>View</v>
      </c>
    </row>
    <row r="1339" spans="1:21" ht="13.2">
      <c r="A1339" s="6">
        <v>43439.76961805555</v>
      </c>
      <c r="B1339" s="7" t="str">
        <f>HYPERLINK("https://twitter.com/MalagaImpecable","@MalagaImpecable")</f>
        <v>@MalagaImpecable</v>
      </c>
      <c r="C1339" s="8" t="s">
        <v>4843</v>
      </c>
      <c r="D1339" s="9" t="s">
        <v>4844</v>
      </c>
      <c r="E1339" s="10" t="str">
        <f>HYPERLINK("https://twitter.com/MalagaImpecable/status/1070369273158295552","1070369273158295552")</f>
        <v>1070369273158295552</v>
      </c>
      <c r="F1339" s="11"/>
      <c r="G1339" s="11"/>
      <c r="H1339" s="11"/>
      <c r="I1339" s="12">
        <v>0</v>
      </c>
      <c r="J1339" s="12">
        <v>0</v>
      </c>
      <c r="K1339" s="13" t="str">
        <f>HYPERLINK("https://mobile.twitter.com","Twitter Lite")</f>
        <v>Twitter Lite</v>
      </c>
      <c r="L1339" s="12">
        <v>416</v>
      </c>
      <c r="M1339" s="12">
        <v>434</v>
      </c>
      <c r="N1339" s="12">
        <v>7</v>
      </c>
      <c r="O1339" s="14"/>
      <c r="P1339" s="6">
        <v>42378.777673611112</v>
      </c>
      <c r="Q1339" s="11"/>
      <c r="R1339" s="17" t="s">
        <v>4845</v>
      </c>
      <c r="S1339" s="16" t="s">
        <v>4846</v>
      </c>
      <c r="T1339" s="11"/>
      <c r="U1339" s="10" t="str">
        <f>HYPERLINK("https://pbs.twimg.com/profile_images/747475367103967232/mtmWaVkx.jpg","View")</f>
        <v>View</v>
      </c>
    </row>
    <row r="1340" spans="1:21" ht="30.6">
      <c r="A1340" s="6">
        <v>43439.769247685181</v>
      </c>
      <c r="B1340" s="7" t="str">
        <f>HYPERLINK("https://twitter.com/Guido_Fawkes_","@Guido_Fawkes_")</f>
        <v>@Guido_Fawkes_</v>
      </c>
      <c r="C1340" s="8" t="s">
        <v>4847</v>
      </c>
      <c r="D1340" s="9" t="s">
        <v>4848</v>
      </c>
      <c r="E1340" s="10" t="str">
        <f>HYPERLINK("https://twitter.com/Guido_Fawkes_/status/1070369138915319809","1070369138915319809")</f>
        <v>1070369138915319809</v>
      </c>
      <c r="F1340" s="16" t="s">
        <v>4849</v>
      </c>
      <c r="G1340" s="16" t="s">
        <v>4850</v>
      </c>
      <c r="H1340" s="11"/>
      <c r="I1340" s="12">
        <v>2</v>
      </c>
      <c r="J1340" s="12">
        <v>4</v>
      </c>
      <c r="K1340" s="13" t="str">
        <f>HYPERLINK("http://twitter.com/download/android","Twitter for Android")</f>
        <v>Twitter for Android</v>
      </c>
      <c r="L1340" s="12">
        <v>1374</v>
      </c>
      <c r="M1340" s="12">
        <v>4984</v>
      </c>
      <c r="N1340" s="12">
        <v>3</v>
      </c>
      <c r="O1340" s="14"/>
      <c r="P1340" s="6">
        <v>41033.854710648149</v>
      </c>
      <c r="Q1340" s="15" t="s">
        <v>4851</v>
      </c>
      <c r="R1340" s="17" t="s">
        <v>4852</v>
      </c>
      <c r="S1340" s="11"/>
      <c r="T1340" s="11"/>
      <c r="U1340" s="10" t="str">
        <f>HYPERLINK("https://pbs.twimg.com/profile_images/486252308385505280/Iute-wm9.jpeg","View")</f>
        <v>View</v>
      </c>
    </row>
    <row r="1341" spans="1:21" ht="30.6">
      <c r="A1341" s="6">
        <v>43439.768750000003</v>
      </c>
      <c r="B1341" s="7" t="str">
        <f>HYPERLINK("https://twitter.com/SergiogmSergio","@SergiogmSergio")</f>
        <v>@SergiogmSergio</v>
      </c>
      <c r="C1341" s="8" t="s">
        <v>1431</v>
      </c>
      <c r="D1341" s="9" t="s">
        <v>4853</v>
      </c>
      <c r="E1341" s="10" t="str">
        <f>HYPERLINK("https://twitter.com/SergiogmSergio/status/1070368956458958850","1070368956458958850")</f>
        <v>1070368956458958850</v>
      </c>
      <c r="F1341" s="16" t="s">
        <v>2006</v>
      </c>
      <c r="G1341" s="11"/>
      <c r="H1341" s="11"/>
      <c r="I1341" s="12">
        <v>0</v>
      </c>
      <c r="J1341" s="12">
        <v>2</v>
      </c>
      <c r="K1341" s="13" t="str">
        <f>HYPERLINK("http://twitter.com/download/iphone","Twitter for iPhone")</f>
        <v>Twitter for iPhone</v>
      </c>
      <c r="L1341" s="12">
        <v>154</v>
      </c>
      <c r="M1341" s="12">
        <v>345</v>
      </c>
      <c r="N1341" s="12">
        <v>0</v>
      </c>
      <c r="O1341" s="14"/>
      <c r="P1341" s="6">
        <v>42071.631851851853</v>
      </c>
      <c r="Q1341" s="11"/>
      <c r="R1341" s="17" t="s">
        <v>1435</v>
      </c>
      <c r="S1341" s="11"/>
      <c r="T1341" s="11"/>
      <c r="U1341" s="10" t="str">
        <f>HYPERLINK("https://pbs.twimg.com/profile_images/759914683843252224/gGYuI175.jpg","View")</f>
        <v>View</v>
      </c>
    </row>
    <row r="1342" spans="1:21" ht="30.6">
      <c r="A1342" s="6">
        <v>43439.768310185187</v>
      </c>
      <c r="B1342" s="7" t="str">
        <f>HYPERLINK("https://twitter.com/Latigation","@Latigation")</f>
        <v>@Latigation</v>
      </c>
      <c r="C1342" s="8" t="s">
        <v>4854</v>
      </c>
      <c r="D1342" s="9" t="s">
        <v>4855</v>
      </c>
      <c r="E1342" s="10" t="str">
        <f>HYPERLINK("https://twitter.com/Latigation/status/1070368798862118914","1070368798862118914")</f>
        <v>1070368798862118914</v>
      </c>
      <c r="F1342" s="11"/>
      <c r="G1342" s="16" t="s">
        <v>4856</v>
      </c>
      <c r="H1342" s="11"/>
      <c r="I1342" s="12">
        <v>0</v>
      </c>
      <c r="J1342" s="12">
        <v>0</v>
      </c>
      <c r="K1342" s="13" t="str">
        <f t="shared" ref="K1342:K1343" si="306">HYPERLINK("http://twitter.com/download/android","Twitter for Android")</f>
        <v>Twitter for Android</v>
      </c>
      <c r="L1342" s="12">
        <v>157</v>
      </c>
      <c r="M1342" s="12">
        <v>130</v>
      </c>
      <c r="N1342" s="12">
        <v>4</v>
      </c>
      <c r="O1342" s="14"/>
      <c r="P1342" s="6">
        <v>41651.885960648149</v>
      </c>
      <c r="Q1342" s="11"/>
      <c r="R1342" s="18"/>
      <c r="S1342" s="11"/>
      <c r="T1342" s="11"/>
      <c r="U1342" s="10" t="str">
        <f>HYPERLINK("https://pbs.twimg.com/profile_images/959802975249149952/s08al-QY.jpg","View")</f>
        <v>View</v>
      </c>
    </row>
    <row r="1343" spans="1:21" ht="30.6">
      <c r="A1343" s="6">
        <v>43439.767731481479</v>
      </c>
      <c r="B1343" s="7" t="str">
        <f>HYPERLINK("https://twitter.com/MilanaAzarias","@MilanaAzarias")</f>
        <v>@MilanaAzarias</v>
      </c>
      <c r="C1343" s="8" t="s">
        <v>4857</v>
      </c>
      <c r="D1343" s="9" t="s">
        <v>4858</v>
      </c>
      <c r="E1343" s="10" t="str">
        <f>HYPERLINK("https://twitter.com/MilanaAzarias/status/1070368586919759872","1070368586919759872")</f>
        <v>1070368586919759872</v>
      </c>
      <c r="F1343" s="11"/>
      <c r="G1343" s="16" t="s">
        <v>4859</v>
      </c>
      <c r="H1343" s="11"/>
      <c r="I1343" s="12">
        <v>0</v>
      </c>
      <c r="J1343" s="12">
        <v>2</v>
      </c>
      <c r="K1343" s="13" t="str">
        <f t="shared" si="306"/>
        <v>Twitter for Android</v>
      </c>
      <c r="L1343" s="12">
        <v>65</v>
      </c>
      <c r="M1343" s="12">
        <v>302</v>
      </c>
      <c r="N1343" s="12">
        <v>3</v>
      </c>
      <c r="O1343" s="14"/>
      <c r="P1343" s="6">
        <v>43422.825810185182</v>
      </c>
      <c r="Q1343" s="15" t="s">
        <v>4860</v>
      </c>
      <c r="R1343" s="17" t="s">
        <v>4861</v>
      </c>
      <c r="S1343" s="11"/>
      <c r="T1343" s="11"/>
      <c r="U1343" s="10" t="str">
        <f>HYPERLINK("https://pbs.twimg.com/profile_images/1064239476719915010/liFHjuKs.jpg","View")</f>
        <v>View</v>
      </c>
    </row>
    <row r="1344" spans="1:21" ht="102">
      <c r="A1344" s="6">
        <v>43439.767696759256</v>
      </c>
      <c r="B1344" s="7" t="str">
        <f>HYPERLINK("https://twitter.com/churiaque","@churiaque")</f>
        <v>@churiaque</v>
      </c>
      <c r="C1344" s="8" t="s">
        <v>1367</v>
      </c>
      <c r="D1344" s="9" t="s">
        <v>4862</v>
      </c>
      <c r="E1344" s="10" t="str">
        <f>HYPERLINK("https://twitter.com/churiaque/status/1070368575968419840","1070368575968419840")</f>
        <v>1070368575968419840</v>
      </c>
      <c r="F1344" s="16" t="s">
        <v>4863</v>
      </c>
      <c r="G1344" s="11"/>
      <c r="H1344" s="11"/>
      <c r="I1344" s="12">
        <v>0</v>
      </c>
      <c r="J1344" s="12">
        <v>2</v>
      </c>
      <c r="K1344" s="13" t="str">
        <f t="shared" ref="K1344:K1346" si="307">HYPERLINK("http://twitter.com","Twitter Web Client")</f>
        <v>Twitter Web Client</v>
      </c>
      <c r="L1344" s="12">
        <v>475</v>
      </c>
      <c r="M1344" s="12">
        <v>894</v>
      </c>
      <c r="N1344" s="12">
        <v>22</v>
      </c>
      <c r="O1344" s="14"/>
      <c r="P1344" s="6">
        <v>40126.81722222222</v>
      </c>
      <c r="Q1344" s="15" t="s">
        <v>1371</v>
      </c>
      <c r="R1344" s="17" t="s">
        <v>1372</v>
      </c>
      <c r="S1344" s="11"/>
      <c r="T1344" s="11"/>
      <c r="U1344" s="10" t="str">
        <f>HYPERLINK("https://pbs.twimg.com/profile_images/927492117844373504/R3KdnKfA.jpg","View")</f>
        <v>View</v>
      </c>
    </row>
    <row r="1345" spans="1:21" ht="61.2">
      <c r="A1345" s="6">
        <v>43439.766840277778</v>
      </c>
      <c r="B1345" s="7" t="str">
        <f>HYPERLINK("https://twitter.com/BabositaM","@BabositaM")</f>
        <v>@BabositaM</v>
      </c>
      <c r="C1345" s="8" t="s">
        <v>3378</v>
      </c>
      <c r="D1345" s="9" t="s">
        <v>4864</v>
      </c>
      <c r="E1345" s="10" t="str">
        <f>HYPERLINK("https://twitter.com/BabositaM/status/1070368263736123393","1070368263736123393")</f>
        <v>1070368263736123393</v>
      </c>
      <c r="F1345" s="11"/>
      <c r="G1345" s="11"/>
      <c r="H1345" s="11"/>
      <c r="I1345" s="12">
        <v>1</v>
      </c>
      <c r="J1345" s="12">
        <v>2</v>
      </c>
      <c r="K1345" s="13" t="str">
        <f t="shared" si="307"/>
        <v>Twitter Web Client</v>
      </c>
      <c r="L1345" s="12">
        <v>402</v>
      </c>
      <c r="M1345" s="12">
        <v>452</v>
      </c>
      <c r="N1345" s="12">
        <v>1</v>
      </c>
      <c r="O1345" s="14"/>
      <c r="P1345" s="6">
        <v>41235.510891203703</v>
      </c>
      <c r="Q1345" s="11"/>
      <c r="R1345" s="17" t="s">
        <v>3380</v>
      </c>
      <c r="S1345" s="11"/>
      <c r="T1345" s="11"/>
      <c r="U1345" s="10" t="str">
        <f>HYPERLINK("https://pbs.twimg.com/profile_images/1050147122287439872/r7PSoJZU.jpg","View")</f>
        <v>View</v>
      </c>
    </row>
    <row r="1346" spans="1:21" ht="51">
      <c r="A1346" s="6">
        <v>43439.764803240745</v>
      </c>
      <c r="B1346" s="7" t="str">
        <f>HYPERLINK("https://twitter.com/indpcom","@indpcom")</f>
        <v>@indpcom</v>
      </c>
      <c r="C1346" s="8" t="s">
        <v>207</v>
      </c>
      <c r="D1346" s="9" t="s">
        <v>4865</v>
      </c>
      <c r="E1346" s="10" t="str">
        <f>HYPERLINK("https://twitter.com/indpcom/status/1070367526268428288","1070367526268428288")</f>
        <v>1070367526268428288</v>
      </c>
      <c r="F1346" s="16" t="s">
        <v>4866</v>
      </c>
      <c r="G1346" s="11"/>
      <c r="H1346" s="11"/>
      <c r="I1346" s="12">
        <v>15</v>
      </c>
      <c r="J1346" s="12">
        <v>7</v>
      </c>
      <c r="K1346" s="13" t="str">
        <f t="shared" si="307"/>
        <v>Twitter Web Client</v>
      </c>
      <c r="L1346" s="12">
        <v>59371</v>
      </c>
      <c r="M1346" s="12">
        <v>1310</v>
      </c>
      <c r="N1346" s="12">
        <v>1116</v>
      </c>
      <c r="O1346" s="23" t="s">
        <v>89</v>
      </c>
      <c r="P1346" s="6">
        <v>42537.702719907407</v>
      </c>
      <c r="Q1346" s="15" t="s">
        <v>185</v>
      </c>
      <c r="R1346" s="17" t="s">
        <v>210</v>
      </c>
      <c r="S1346" s="16" t="s">
        <v>211</v>
      </c>
      <c r="T1346" s="11"/>
      <c r="U1346" s="10" t="str">
        <f>HYPERLINK("https://pbs.twimg.com/profile_images/773807977069420544/o4tNI4zQ.jpg","View")</f>
        <v>View</v>
      </c>
    </row>
    <row r="1347" spans="1:21" ht="81.599999999999994">
      <c r="A1347" s="6">
        <v>43439.764791666668</v>
      </c>
      <c r="B1347" s="7" t="str">
        <f>HYPERLINK("https://twitter.com/DaniLadyGaga16","@DaniLadyGaga16")</f>
        <v>@DaniLadyGaga16</v>
      </c>
      <c r="C1347" s="8" t="s">
        <v>4867</v>
      </c>
      <c r="D1347" s="9" t="s">
        <v>4868</v>
      </c>
      <c r="E1347" s="10" t="str">
        <f>HYPERLINK("https://twitter.com/DaniLadyGaga16/status/1070367523776925697","1070367523776925697")</f>
        <v>1070367523776925697</v>
      </c>
      <c r="F1347" s="15" t="s">
        <v>1001</v>
      </c>
      <c r="G1347" s="16" t="s">
        <v>1002</v>
      </c>
      <c r="H1347" s="11"/>
      <c r="I1347" s="12">
        <v>0</v>
      </c>
      <c r="J1347" s="12">
        <v>1</v>
      </c>
      <c r="K1347" s="13" t="str">
        <f t="shared" ref="K1347:K1349" si="308">HYPERLINK("http://twitter.com/download/android","Twitter for Android")</f>
        <v>Twitter for Android</v>
      </c>
      <c r="L1347" s="12">
        <v>4172</v>
      </c>
      <c r="M1347" s="12">
        <v>2779</v>
      </c>
      <c r="N1347" s="12">
        <v>22</v>
      </c>
      <c r="O1347" s="14"/>
      <c r="P1347" s="6">
        <v>40583.978900462964</v>
      </c>
      <c r="Q1347" s="15" t="s">
        <v>4869</v>
      </c>
      <c r="R1347" s="17" t="s">
        <v>4870</v>
      </c>
      <c r="S1347" s="16" t="s">
        <v>4871</v>
      </c>
      <c r="T1347" s="11"/>
      <c r="U1347" s="10" t="str">
        <f>HYPERLINK("https://pbs.twimg.com/profile_images/1060956175053787136/QqhtVLFu.jpg","View")</f>
        <v>View</v>
      </c>
    </row>
    <row r="1348" spans="1:21" ht="51">
      <c r="A1348" s="6">
        <v>43439.76394675926</v>
      </c>
      <c r="B1348" s="7" t="str">
        <f>HYPERLINK("https://twitter.com/mrcsmoya","@mrcsmoya")</f>
        <v>@mrcsmoya</v>
      </c>
      <c r="C1348" s="8" t="s">
        <v>4872</v>
      </c>
      <c r="D1348" s="9" t="s">
        <v>4873</v>
      </c>
      <c r="E1348" s="10" t="str">
        <f>HYPERLINK("https://twitter.com/mrcsmoya/status/1070367217685053440","1070367217685053440")</f>
        <v>1070367217685053440</v>
      </c>
      <c r="F1348" s="15" t="s">
        <v>4829</v>
      </c>
      <c r="G1348" s="16" t="s">
        <v>4830</v>
      </c>
      <c r="H1348" s="11"/>
      <c r="I1348" s="12">
        <v>0</v>
      </c>
      <c r="J1348" s="12">
        <v>0</v>
      </c>
      <c r="K1348" s="13" t="str">
        <f t="shared" si="308"/>
        <v>Twitter for Android</v>
      </c>
      <c r="L1348" s="12">
        <v>265</v>
      </c>
      <c r="M1348" s="12">
        <v>156</v>
      </c>
      <c r="N1348" s="12">
        <v>2</v>
      </c>
      <c r="O1348" s="14"/>
      <c r="P1348" s="6">
        <v>42909.938969907409</v>
      </c>
      <c r="Q1348" s="15" t="s">
        <v>197</v>
      </c>
      <c r="R1348" s="17" t="s">
        <v>4874</v>
      </c>
      <c r="S1348" s="11"/>
      <c r="T1348" s="11"/>
      <c r="U1348" s="10" t="str">
        <f>HYPERLINK("https://pbs.twimg.com/profile_images/1056335062256496641/1rWcQQ9J.jpg","View")</f>
        <v>View</v>
      </c>
    </row>
    <row r="1349" spans="1:21" ht="30.6">
      <c r="A1349" s="6">
        <v>43439.761689814812</v>
      </c>
      <c r="B1349" s="7" t="str">
        <f>HYPERLINK("https://twitter.com/anto_logica","@anto_logica")</f>
        <v>@anto_logica</v>
      </c>
      <c r="C1349" s="8" t="s">
        <v>4875</v>
      </c>
      <c r="D1349" s="9" t="s">
        <v>4876</v>
      </c>
      <c r="E1349" s="10" t="str">
        <f>HYPERLINK("https://twitter.com/anto_logica/status/1070366399804162048","1070366399804162048")</f>
        <v>1070366399804162048</v>
      </c>
      <c r="F1349" s="11"/>
      <c r="G1349" s="16" t="s">
        <v>4877</v>
      </c>
      <c r="H1349" s="11"/>
      <c r="I1349" s="12">
        <v>0</v>
      </c>
      <c r="J1349" s="12">
        <v>1</v>
      </c>
      <c r="K1349" s="13" t="str">
        <f t="shared" si="308"/>
        <v>Twitter for Android</v>
      </c>
      <c r="L1349" s="12">
        <v>499</v>
      </c>
      <c r="M1349" s="12">
        <v>432</v>
      </c>
      <c r="N1349" s="12">
        <v>3</v>
      </c>
      <c r="O1349" s="14"/>
      <c r="P1349" s="6">
        <v>43037.908402777779</v>
      </c>
      <c r="Q1349" s="15" t="s">
        <v>4878</v>
      </c>
      <c r="R1349" s="17" t="s">
        <v>4879</v>
      </c>
      <c r="S1349" s="11"/>
      <c r="T1349" s="11"/>
      <c r="U1349" s="10" t="str">
        <f>HYPERLINK("https://pbs.twimg.com/profile_images/1058295725308682240/8EaQ4XG2.jpg","View")</f>
        <v>View</v>
      </c>
    </row>
    <row r="1350" spans="1:21" ht="30.6">
      <c r="A1350" s="6">
        <v>43439.761215277773</v>
      </c>
      <c r="B1350" s="7" t="str">
        <f>HYPERLINK("https://twitter.com/eloisadedios","@eloisadedios")</f>
        <v>@eloisadedios</v>
      </c>
      <c r="C1350" s="8" t="s">
        <v>4880</v>
      </c>
      <c r="D1350" s="9" t="s">
        <v>4881</v>
      </c>
      <c r="E1350" s="10" t="str">
        <f>HYPERLINK("https://twitter.com/eloisadedios/status/1070366227858710533","1070366227858710533")</f>
        <v>1070366227858710533</v>
      </c>
      <c r="F1350" s="11"/>
      <c r="G1350" s="11"/>
      <c r="H1350" s="11"/>
      <c r="I1350" s="12">
        <v>0</v>
      </c>
      <c r="J1350" s="12">
        <v>2</v>
      </c>
      <c r="K1350" s="13" t="str">
        <f>HYPERLINK("http://twitter.com/download/iphone","Twitter for iPhone")</f>
        <v>Twitter for iPhone</v>
      </c>
      <c r="L1350" s="12">
        <v>1446</v>
      </c>
      <c r="M1350" s="12">
        <v>613</v>
      </c>
      <c r="N1350" s="12">
        <v>46</v>
      </c>
      <c r="O1350" s="14"/>
      <c r="P1350" s="6">
        <v>40336.544675925928</v>
      </c>
      <c r="Q1350" s="15" t="s">
        <v>197</v>
      </c>
      <c r="R1350" s="17" t="s">
        <v>4882</v>
      </c>
      <c r="S1350" s="11"/>
      <c r="T1350" s="11"/>
      <c r="U1350" s="10" t="str">
        <f>HYPERLINK("https://pbs.twimg.com/profile_images/1041083476760580096/kJnsfNkh.jpg","View")</f>
        <v>View</v>
      </c>
    </row>
    <row r="1351" spans="1:21" ht="20.399999999999999">
      <c r="A1351" s="6">
        <v>43439.759386574078</v>
      </c>
      <c r="B1351" s="7" t="str">
        <f>HYPERLINK("https://twitter.com/idpajares1974","@idpajares1974")</f>
        <v>@idpajares1974</v>
      </c>
      <c r="C1351" s="8" t="s">
        <v>4883</v>
      </c>
      <c r="D1351" s="9" t="s">
        <v>4884</v>
      </c>
      <c r="E1351" s="10" t="str">
        <f>HYPERLINK("https://twitter.com/idpajares1974/status/1070365561794768896","1070365561794768896")</f>
        <v>1070365561794768896</v>
      </c>
      <c r="F1351" s="16" t="s">
        <v>3750</v>
      </c>
      <c r="G1351" s="11"/>
      <c r="H1351" s="11"/>
      <c r="I1351" s="12">
        <v>0</v>
      </c>
      <c r="J1351" s="12">
        <v>0</v>
      </c>
      <c r="K1351" s="13" t="str">
        <f>HYPERLINK("http://twitter.com","Twitter Web Client")</f>
        <v>Twitter Web Client</v>
      </c>
      <c r="L1351" s="12">
        <v>178</v>
      </c>
      <c r="M1351" s="12">
        <v>406</v>
      </c>
      <c r="N1351" s="12">
        <v>8</v>
      </c>
      <c r="O1351" s="14"/>
      <c r="P1351" s="6">
        <v>40623.486261574071</v>
      </c>
      <c r="Q1351" s="15" t="s">
        <v>197</v>
      </c>
      <c r="R1351" s="17" t="s">
        <v>4885</v>
      </c>
      <c r="S1351" s="11"/>
      <c r="T1351" s="11"/>
      <c r="U1351" s="10" t="str">
        <f>HYPERLINK("https://pbs.twimg.com/profile_images/1069169554788622336/2K2S2m-H.jpg","View")</f>
        <v>View</v>
      </c>
    </row>
    <row r="1352" spans="1:21" ht="30.6">
      <c r="A1352" s="6">
        <v>43439.759097222224</v>
      </c>
      <c r="B1352" s="7" t="str">
        <f>HYPERLINK("https://twitter.com/COPE","@COPE")</f>
        <v>@COPE</v>
      </c>
      <c r="C1352" s="8" t="s">
        <v>1421</v>
      </c>
      <c r="D1352" s="9" t="s">
        <v>4886</v>
      </c>
      <c r="E1352" s="10" t="str">
        <f>HYPERLINK("https://twitter.com/COPE/status/1070365459105701893","1070365459105701893")</f>
        <v>1070365459105701893</v>
      </c>
      <c r="F1352" s="16" t="s">
        <v>4887</v>
      </c>
      <c r="G1352" s="11"/>
      <c r="H1352" s="11"/>
      <c r="I1352" s="12">
        <v>58</v>
      </c>
      <c r="J1352" s="12">
        <v>100</v>
      </c>
      <c r="K1352" s="13" t="str">
        <f>HYPERLINK("http://dogtrack.es","DogTrack_Oficial")</f>
        <v>DogTrack_Oficial</v>
      </c>
      <c r="L1352" s="12">
        <v>354194</v>
      </c>
      <c r="M1352" s="12">
        <v>150</v>
      </c>
      <c r="N1352" s="12">
        <v>3095</v>
      </c>
      <c r="O1352" s="23" t="s">
        <v>89</v>
      </c>
      <c r="P1352" s="6">
        <v>39381.538321759261</v>
      </c>
      <c r="Q1352" s="15" t="s">
        <v>185</v>
      </c>
      <c r="R1352" s="17" t="s">
        <v>1424</v>
      </c>
      <c r="S1352" s="16" t="s">
        <v>1425</v>
      </c>
      <c r="T1352" s="11"/>
      <c r="U1352" s="10" t="str">
        <f>HYPERLINK("https://pbs.twimg.com/profile_images/1063097716031533059/yAe1j-56.jpg","View")</f>
        <v>View</v>
      </c>
    </row>
    <row r="1353" spans="1:21" ht="40.799999999999997">
      <c r="A1353" s="6">
        <v>43439.758761574078</v>
      </c>
      <c r="B1353" s="7" t="str">
        <f>HYPERLINK("https://twitter.com/Amadosev","@Amadosev")</f>
        <v>@Amadosev</v>
      </c>
      <c r="C1353" s="8" t="s">
        <v>1543</v>
      </c>
      <c r="D1353" s="9" t="s">
        <v>4888</v>
      </c>
      <c r="E1353" s="10" t="str">
        <f>HYPERLINK("https://twitter.com/Amadosev/status/1070365335621111808","1070365335621111808")</f>
        <v>1070365335621111808</v>
      </c>
      <c r="F1353" s="11"/>
      <c r="G1353" s="11"/>
      <c r="H1353" s="11"/>
      <c r="I1353" s="12">
        <v>0</v>
      </c>
      <c r="J1353" s="12">
        <v>0</v>
      </c>
      <c r="K1353" s="13" t="str">
        <f>HYPERLINK("http://twitter.com/download/android","Twitter for Android")</f>
        <v>Twitter for Android</v>
      </c>
      <c r="L1353" s="12">
        <v>27</v>
      </c>
      <c r="M1353" s="12">
        <v>205</v>
      </c>
      <c r="N1353" s="12">
        <v>0</v>
      </c>
      <c r="O1353" s="14"/>
      <c r="P1353" s="6">
        <v>40684.636412037034</v>
      </c>
      <c r="Q1353" s="15" t="s">
        <v>1048</v>
      </c>
      <c r="R1353" s="17" t="s">
        <v>4889</v>
      </c>
      <c r="S1353" s="11"/>
      <c r="T1353" s="11"/>
      <c r="U1353" s="10" t="str">
        <f>HYPERLINK("https://pbs.twimg.com/profile_images/1010468696467361792/aHIA1IvM.jpg","View")</f>
        <v>View</v>
      </c>
    </row>
    <row r="1354" spans="1:21" ht="51">
      <c r="A1354" s="6">
        <v>43439.75844907407</v>
      </c>
      <c r="B1354" s="7" t="str">
        <f>HYPERLINK("https://twitter.com/erasimbolico","@erasimbolico")</f>
        <v>@erasimbolico</v>
      </c>
      <c r="C1354" s="8" t="s">
        <v>4890</v>
      </c>
      <c r="D1354" s="9" t="s">
        <v>4891</v>
      </c>
      <c r="E1354" s="10" t="str">
        <f>HYPERLINK("https://twitter.com/erasimbolico/status/1070365225898127360","1070365225898127360")</f>
        <v>1070365225898127360</v>
      </c>
      <c r="F1354" s="11"/>
      <c r="G1354" s="11"/>
      <c r="H1354" s="11"/>
      <c r="I1354" s="12">
        <v>1</v>
      </c>
      <c r="J1354" s="12">
        <v>2</v>
      </c>
      <c r="K1354" s="13" t="str">
        <f>HYPERLINK("https://mobile.twitter.com","Twitter Lite")</f>
        <v>Twitter Lite</v>
      </c>
      <c r="L1354" s="12">
        <v>573</v>
      </c>
      <c r="M1354" s="12">
        <v>571</v>
      </c>
      <c r="N1354" s="12">
        <v>2</v>
      </c>
      <c r="O1354" s="14"/>
      <c r="P1354" s="6">
        <v>43037.401898148149</v>
      </c>
      <c r="Q1354" s="15" t="s">
        <v>4892</v>
      </c>
      <c r="R1354" s="17" t="s">
        <v>4893</v>
      </c>
      <c r="S1354" s="11"/>
      <c r="T1354" s="11"/>
      <c r="U1354" s="10" t="str">
        <f>HYPERLINK("https://pbs.twimg.com/profile_images/1039793745003274240/wC3PrvyK.jpg","View")</f>
        <v>View</v>
      </c>
    </row>
    <row r="1355" spans="1:21" ht="20.399999999999999">
      <c r="A1355" s="6">
        <v>43439.758067129631</v>
      </c>
      <c r="B1355" s="7" t="str">
        <f>HYPERLINK("https://twitter.com/baila1956","@baila1956")</f>
        <v>@baila1956</v>
      </c>
      <c r="C1355" s="8" t="s">
        <v>4326</v>
      </c>
      <c r="D1355" s="9" t="s">
        <v>4894</v>
      </c>
      <c r="E1355" s="10" t="str">
        <f>HYPERLINK("https://twitter.com/baila1956/status/1070365087381286918","1070365087381286918")</f>
        <v>1070365087381286918</v>
      </c>
      <c r="F1355" s="11"/>
      <c r="G1355" s="16" t="s">
        <v>4895</v>
      </c>
      <c r="H1355" s="11"/>
      <c r="I1355" s="12">
        <v>0</v>
      </c>
      <c r="J1355" s="12">
        <v>0</v>
      </c>
      <c r="K1355" s="13" t="str">
        <f>HYPERLINK("http://twitter.com/download/android","Twitter for Android")</f>
        <v>Twitter for Android</v>
      </c>
      <c r="L1355" s="12">
        <v>327</v>
      </c>
      <c r="M1355" s="12">
        <v>348</v>
      </c>
      <c r="N1355" s="12">
        <v>4</v>
      </c>
      <c r="O1355" s="14"/>
      <c r="P1355" s="6">
        <v>41655.600659722222</v>
      </c>
      <c r="Q1355" s="11"/>
      <c r="R1355" s="17" t="s">
        <v>4329</v>
      </c>
      <c r="S1355" s="11"/>
      <c r="T1355" s="11"/>
      <c r="U1355" s="10" t="str">
        <f>HYPERLINK("https://pbs.twimg.com/profile_images/1069961410925469698/1CHZ5AIF.jpg","View")</f>
        <v>View</v>
      </c>
    </row>
    <row r="1356" spans="1:21" ht="40.799999999999997">
      <c r="A1356" s="6">
        <v>43439.756643518514</v>
      </c>
      <c r="B1356" s="7" t="str">
        <f>HYPERLINK("https://twitter.com/J_CarlosNavarro","@J_CarlosNavarro")</f>
        <v>@J_CarlosNavarro</v>
      </c>
      <c r="C1356" s="8" t="s">
        <v>4896</v>
      </c>
      <c r="D1356" s="9" t="s">
        <v>4897</v>
      </c>
      <c r="E1356" s="10" t="str">
        <f>HYPERLINK("https://twitter.com/J_CarlosNavarro/status/1070364570160689153","1070364570160689153")</f>
        <v>1070364570160689153</v>
      </c>
      <c r="F1356" s="16" t="s">
        <v>4898</v>
      </c>
      <c r="G1356" s="11"/>
      <c r="H1356" s="11"/>
      <c r="I1356" s="12">
        <v>0</v>
      </c>
      <c r="J1356" s="12">
        <v>0</v>
      </c>
      <c r="K1356" s="13" t="str">
        <f>HYPERLINK("http://twitter.com","Twitter Web Client")</f>
        <v>Twitter Web Client</v>
      </c>
      <c r="L1356" s="12">
        <v>1335</v>
      </c>
      <c r="M1356" s="12">
        <v>983</v>
      </c>
      <c r="N1356" s="12">
        <v>54</v>
      </c>
      <c r="O1356" s="14"/>
      <c r="P1356" s="6">
        <v>39654.473078703704</v>
      </c>
      <c r="Q1356" s="15" t="s">
        <v>4899</v>
      </c>
      <c r="R1356" s="17" t="s">
        <v>4900</v>
      </c>
      <c r="S1356" s="16" t="s">
        <v>4901</v>
      </c>
      <c r="T1356" s="11"/>
      <c r="U1356" s="10" t="str">
        <f>HYPERLINK("https://pbs.twimg.com/profile_images/1008402812659752961/oy3BC7MH.jpg","View")</f>
        <v>View</v>
      </c>
    </row>
    <row r="1357" spans="1:21" ht="40.799999999999997">
      <c r="A1357" s="6">
        <v>43439.755590277782</v>
      </c>
      <c r="B1357" s="7" t="str">
        <f>HYPERLINK("https://twitter.com/jorivela","@jorivela")</f>
        <v>@jorivela</v>
      </c>
      <c r="C1357" s="8" t="s">
        <v>4902</v>
      </c>
      <c r="D1357" s="9" t="s">
        <v>4903</v>
      </c>
      <c r="E1357" s="10" t="str">
        <f>HYPERLINK("https://twitter.com/jorivela/status/1070364189238153216","1070364189238153216")</f>
        <v>1070364189238153216</v>
      </c>
      <c r="F1357" s="11"/>
      <c r="G1357" s="16" t="s">
        <v>4904</v>
      </c>
      <c r="H1357" s="11"/>
      <c r="I1357" s="12">
        <v>1</v>
      </c>
      <c r="J1357" s="12">
        <v>3</v>
      </c>
      <c r="K1357" s="13" t="str">
        <f>HYPERLINK("http://twitter.com/#!/download/ipad","Twitter for iPad")</f>
        <v>Twitter for iPad</v>
      </c>
      <c r="L1357" s="12">
        <v>7238</v>
      </c>
      <c r="M1357" s="12">
        <v>7703</v>
      </c>
      <c r="N1357" s="12">
        <v>65</v>
      </c>
      <c r="O1357" s="14"/>
      <c r="P1357" s="6">
        <v>40427.002037037033</v>
      </c>
      <c r="Q1357" s="15" t="s">
        <v>426</v>
      </c>
      <c r="R1357" s="17" t="s">
        <v>4905</v>
      </c>
      <c r="S1357" s="16" t="s">
        <v>4906</v>
      </c>
      <c r="T1357" s="11"/>
      <c r="U1357" s="10" t="str">
        <f>HYPERLINK("https://pbs.twimg.com/profile_images/1664359882/dibujo_de_grecia.jpg","View")</f>
        <v>View</v>
      </c>
    </row>
    <row r="1358" spans="1:21" ht="51">
      <c r="A1358" s="6">
        <v>43439.753298611111</v>
      </c>
      <c r="B1358" s="7" t="str">
        <f>HYPERLINK("https://twitter.com/Alternativa_VOX","@Alternativa_VOX")</f>
        <v>@Alternativa_VOX</v>
      </c>
      <c r="C1358" s="8" t="s">
        <v>4907</v>
      </c>
      <c r="D1358" s="9" t="s">
        <v>4908</v>
      </c>
      <c r="E1358" s="10" t="str">
        <f>HYPERLINK("https://twitter.com/Alternativa_VOX/status/1070363358782767104","1070363358782767104")</f>
        <v>1070363358782767104</v>
      </c>
      <c r="F1358" s="11"/>
      <c r="G1358" s="16" t="s">
        <v>4909</v>
      </c>
      <c r="H1358" s="11"/>
      <c r="I1358" s="12">
        <v>122</v>
      </c>
      <c r="J1358" s="12">
        <v>196</v>
      </c>
      <c r="K1358" s="13" t="str">
        <f>HYPERLINK("http://twitter.com/download/iphone","Twitter for iPhone")</f>
        <v>Twitter for iPhone</v>
      </c>
      <c r="L1358" s="12">
        <v>16216</v>
      </c>
      <c r="M1358" s="12">
        <v>2214</v>
      </c>
      <c r="N1358" s="12">
        <v>70</v>
      </c>
      <c r="O1358" s="14"/>
      <c r="P1358" s="6">
        <v>42414.677303240736</v>
      </c>
      <c r="Q1358" s="11"/>
      <c r="R1358" s="17" t="s">
        <v>4910</v>
      </c>
      <c r="S1358" s="11"/>
      <c r="T1358" s="11"/>
      <c r="U1358" s="10" t="str">
        <f>HYPERLINK("https://pbs.twimg.com/profile_images/1054080233844936705/IYgqsUMs.jpg","View")</f>
        <v>View</v>
      </c>
    </row>
    <row r="1359" spans="1:21" ht="51">
      <c r="A1359" s="6">
        <v>43439.751388888893</v>
      </c>
      <c r="B1359" s="7" t="str">
        <f>HYPERLINK("https://twitter.com/bitMomentum","@bitMomentum")</f>
        <v>@bitMomentum</v>
      </c>
      <c r="C1359" s="8" t="s">
        <v>82</v>
      </c>
      <c r="D1359" s="9" t="s">
        <v>4911</v>
      </c>
      <c r="E1359" s="10" t="str">
        <f>HYPERLINK("https://twitter.com/bitMomentum/status/1070362664168292352","1070362664168292352")</f>
        <v>1070362664168292352</v>
      </c>
      <c r="F1359" s="11"/>
      <c r="G1359" s="11"/>
      <c r="H1359" s="11"/>
      <c r="I1359" s="12">
        <v>0</v>
      </c>
      <c r="J1359" s="12">
        <v>0</v>
      </c>
      <c r="K1359" s="13" t="str">
        <f>HYPERLINK("http://www.bitmomentum.com","bitMomentum Bot")</f>
        <v>bitMomentum Bot</v>
      </c>
      <c r="L1359" s="12">
        <v>10253</v>
      </c>
      <c r="M1359" s="12">
        <v>1059</v>
      </c>
      <c r="N1359" s="12">
        <v>263</v>
      </c>
      <c r="O1359" s="14"/>
      <c r="P1359" s="6">
        <v>41608.667511574073</v>
      </c>
      <c r="Q1359" s="11"/>
      <c r="R1359" s="17" t="s">
        <v>84</v>
      </c>
      <c r="S1359" s="16" t="s">
        <v>85</v>
      </c>
      <c r="T1359" s="11"/>
      <c r="U1359" s="10" t="str">
        <f>HYPERLINK("https://pbs.twimg.com/profile_images/378800000862185241/20ij2H3u.png","View")</f>
        <v>View</v>
      </c>
    </row>
    <row r="1360" spans="1:21" ht="40.799999999999997">
      <c r="A1360" s="6">
        <v>43439.751250000001</v>
      </c>
      <c r="B1360" s="7" t="str">
        <f>HYPERLINK("https://twitter.com/VOXCampinaBaja","@VOXCampinaBaja")</f>
        <v>@VOXCampinaBaja</v>
      </c>
      <c r="C1360" s="8" t="s">
        <v>4912</v>
      </c>
      <c r="D1360" s="9" t="s">
        <v>4913</v>
      </c>
      <c r="E1360" s="10" t="str">
        <f>HYPERLINK("https://twitter.com/VOXCampinaBaja/status/1070362614482550785","1070362614482550785")</f>
        <v>1070362614482550785</v>
      </c>
      <c r="F1360" s="16" t="s">
        <v>4914</v>
      </c>
      <c r="G1360" s="11"/>
      <c r="H1360" s="11"/>
      <c r="I1360" s="12">
        <v>0</v>
      </c>
      <c r="J1360" s="12">
        <v>0</v>
      </c>
      <c r="K1360" s="13" t="str">
        <f>HYPERLINK("http://twitter.com/download/android","Twitter for Android")</f>
        <v>Twitter for Android</v>
      </c>
      <c r="L1360" s="12">
        <v>376</v>
      </c>
      <c r="M1360" s="12">
        <v>555</v>
      </c>
      <c r="N1360" s="12">
        <v>2</v>
      </c>
      <c r="O1360" s="14"/>
      <c r="P1360" s="6">
        <v>43347.61555555556</v>
      </c>
      <c r="Q1360" s="15" t="s">
        <v>4915</v>
      </c>
      <c r="R1360" s="17" t="s">
        <v>4916</v>
      </c>
      <c r="S1360" s="16" t="s">
        <v>4917</v>
      </c>
      <c r="T1360" s="11"/>
      <c r="U1360" s="10" t="str">
        <f>HYPERLINK("https://pbs.twimg.com/profile_images/1043823024951185408/k7LG255g.jpg","View")</f>
        <v>View</v>
      </c>
    </row>
    <row r="1361" spans="1:21" ht="51">
      <c r="A1361" s="6">
        <v>43439.750694444447</v>
      </c>
      <c r="B1361" s="7" t="str">
        <f>HYPERLINK("https://twitter.com/bitMomentum","@bitMomentum")</f>
        <v>@bitMomentum</v>
      </c>
      <c r="C1361" s="8" t="s">
        <v>82</v>
      </c>
      <c r="D1361" s="9" t="s">
        <v>4918</v>
      </c>
      <c r="E1361" s="10" t="str">
        <f>HYPERLINK("https://twitter.com/bitMomentum/status/1070362412526825472","1070362412526825472")</f>
        <v>1070362412526825472</v>
      </c>
      <c r="F1361" s="11"/>
      <c r="G1361" s="11"/>
      <c r="H1361" s="11"/>
      <c r="I1361" s="12">
        <v>0</v>
      </c>
      <c r="J1361" s="12">
        <v>0</v>
      </c>
      <c r="K1361" s="13" t="str">
        <f>HYPERLINK("http://www.bitmomentum.com","bitMomentum Bot")</f>
        <v>bitMomentum Bot</v>
      </c>
      <c r="L1361" s="12">
        <v>10253</v>
      </c>
      <c r="M1361" s="12">
        <v>1059</v>
      </c>
      <c r="N1361" s="12">
        <v>263</v>
      </c>
      <c r="O1361" s="14"/>
      <c r="P1361" s="6">
        <v>41608.667511574073</v>
      </c>
      <c r="Q1361" s="11"/>
      <c r="R1361" s="17" t="s">
        <v>84</v>
      </c>
      <c r="S1361" s="16" t="s">
        <v>85</v>
      </c>
      <c r="T1361" s="11"/>
      <c r="U1361" s="10" t="str">
        <f>HYPERLINK("https://pbs.twimg.com/profile_images/378800000862185241/20ij2H3u.png","View")</f>
        <v>View</v>
      </c>
    </row>
    <row r="1362" spans="1:21" ht="81.599999999999994">
      <c r="A1362" s="6">
        <v>43439.749826388885</v>
      </c>
      <c r="B1362" s="7" t="str">
        <f>HYPERLINK("https://twitter.com/parinparem","@parinparem")</f>
        <v>@parinparem</v>
      </c>
      <c r="C1362" s="8" t="s">
        <v>4919</v>
      </c>
      <c r="D1362" s="9" t="s">
        <v>4920</v>
      </c>
      <c r="E1362" s="10" t="str">
        <f>HYPERLINK("https://twitter.com/parinparem/status/1070362098109214722","1070362098109214722")</f>
        <v>1070362098109214722</v>
      </c>
      <c r="F1362" s="16" t="s">
        <v>4921</v>
      </c>
      <c r="G1362" s="16" t="s">
        <v>4922</v>
      </c>
      <c r="H1362" s="11"/>
      <c r="I1362" s="12">
        <v>0</v>
      </c>
      <c r="J1362" s="12">
        <v>0</v>
      </c>
      <c r="K1362" s="13" t="str">
        <f t="shared" ref="K1362:K1364" si="309">HYPERLINK("http://twitter.com/download/android","Twitter for Android")</f>
        <v>Twitter for Android</v>
      </c>
      <c r="L1362" s="12">
        <v>1429</v>
      </c>
      <c r="M1362" s="12">
        <v>2492</v>
      </c>
      <c r="N1362" s="12">
        <v>18</v>
      </c>
      <c r="O1362" s="14"/>
      <c r="P1362" s="6">
        <v>40626.557638888888</v>
      </c>
      <c r="Q1362" s="15" t="s">
        <v>612</v>
      </c>
      <c r="R1362" s="17" t="s">
        <v>4923</v>
      </c>
      <c r="S1362" s="11"/>
      <c r="T1362" s="11"/>
      <c r="U1362" s="10" t="str">
        <f>HYPERLINK("https://pbs.twimg.com/profile_images/977603096326148097/QIs3RneL.jpg","View")</f>
        <v>View</v>
      </c>
    </row>
    <row r="1363" spans="1:21" ht="91.8">
      <c r="A1363" s="6">
        <v>43439.749479166669</v>
      </c>
      <c r="B1363" s="7" t="str">
        <f>HYPERLINK("https://twitter.com/CarlosBarrioJ","@CarlosBarrioJ")</f>
        <v>@CarlosBarrioJ</v>
      </c>
      <c r="C1363" s="8" t="s">
        <v>4924</v>
      </c>
      <c r="D1363" s="9" t="s">
        <v>4925</v>
      </c>
      <c r="E1363" s="10" t="str">
        <f>HYPERLINK("https://twitter.com/CarlosBarrioJ/status/1070361972212932609","1070361972212932609")</f>
        <v>1070361972212932609</v>
      </c>
      <c r="F1363" s="16" t="s">
        <v>43</v>
      </c>
      <c r="G1363" s="11"/>
      <c r="H1363" s="11"/>
      <c r="I1363" s="12">
        <v>0</v>
      </c>
      <c r="J1363" s="12">
        <v>0</v>
      </c>
      <c r="K1363" s="13" t="str">
        <f t="shared" si="309"/>
        <v>Twitter for Android</v>
      </c>
      <c r="L1363" s="12">
        <v>758</v>
      </c>
      <c r="M1363" s="12">
        <v>675</v>
      </c>
      <c r="N1363" s="12">
        <v>33</v>
      </c>
      <c r="O1363" s="14"/>
      <c r="P1363" s="6">
        <v>40680.970613425925</v>
      </c>
      <c r="Q1363" s="11"/>
      <c r="R1363" s="17" t="s">
        <v>4926</v>
      </c>
      <c r="S1363" s="16" t="s">
        <v>4927</v>
      </c>
      <c r="T1363" s="11"/>
      <c r="U1363" s="10" t="str">
        <f>HYPERLINK("https://pbs.twimg.com/profile_images/2151291790/III_CONCURSO_NACIONAL_DE_MON_LOGOS_CIUDAD_DE_B_JAR-12.jpg","View")</f>
        <v>View</v>
      </c>
    </row>
    <row r="1364" spans="1:21" ht="40.799999999999997">
      <c r="A1364" s="6">
        <v>43439.748240740737</v>
      </c>
      <c r="B1364" s="7" t="str">
        <f>HYPERLINK("https://twitter.com/Chuchy_Atletico","@Chuchy_Atletico")</f>
        <v>@Chuchy_Atletico</v>
      </c>
      <c r="C1364" s="8" t="s">
        <v>4928</v>
      </c>
      <c r="D1364" s="9" t="s">
        <v>4929</v>
      </c>
      <c r="E1364" s="10" t="str">
        <f>HYPERLINK("https://twitter.com/Chuchy_Atletico/status/1070361524806578178","1070361524806578178")</f>
        <v>1070361524806578178</v>
      </c>
      <c r="F1364" s="11"/>
      <c r="G1364" s="11"/>
      <c r="H1364" s="11"/>
      <c r="I1364" s="12">
        <v>0</v>
      </c>
      <c r="J1364" s="12">
        <v>3</v>
      </c>
      <c r="K1364" s="13" t="str">
        <f t="shared" si="309"/>
        <v>Twitter for Android</v>
      </c>
      <c r="L1364" s="12">
        <v>402</v>
      </c>
      <c r="M1364" s="12">
        <v>806</v>
      </c>
      <c r="N1364" s="12">
        <v>10</v>
      </c>
      <c r="O1364" s="14"/>
      <c r="P1364" s="6">
        <v>40329.977175925924</v>
      </c>
      <c r="Q1364" s="15" t="s">
        <v>4930</v>
      </c>
      <c r="R1364" s="17" t="s">
        <v>4931</v>
      </c>
      <c r="S1364" s="11"/>
      <c r="T1364" s="11"/>
      <c r="U1364" s="10" t="str">
        <f>HYPERLINK("https://pbs.twimg.com/profile_images/1022441615091220480/WJIRJxPu.jpg","View")</f>
        <v>View</v>
      </c>
    </row>
    <row r="1365" spans="1:21" ht="51">
      <c r="A1365" s="6">
        <v>43439.748159722221</v>
      </c>
      <c r="B1365" s="7" t="str">
        <f>HYPERLINK("https://twitter.com/AmgelLlamas","@AmgelLlamas")</f>
        <v>@AmgelLlamas</v>
      </c>
      <c r="C1365" s="8" t="s">
        <v>4932</v>
      </c>
      <c r="D1365" s="9" t="s">
        <v>4933</v>
      </c>
      <c r="E1365" s="10" t="str">
        <f>HYPERLINK("https://twitter.com/AmgelLlamas/status/1070361496310435841","1070361496310435841")</f>
        <v>1070361496310435841</v>
      </c>
      <c r="F1365" s="16" t="s">
        <v>4934</v>
      </c>
      <c r="G1365" s="11"/>
      <c r="H1365" s="11"/>
      <c r="I1365" s="12">
        <v>0</v>
      </c>
      <c r="J1365" s="12">
        <v>0</v>
      </c>
      <c r="K1365" s="13" t="str">
        <f>HYPERLINK("http://twitter.com","Twitter Web Client")</f>
        <v>Twitter Web Client</v>
      </c>
      <c r="L1365" s="12">
        <v>82</v>
      </c>
      <c r="M1365" s="12">
        <v>624</v>
      </c>
      <c r="N1365" s="12">
        <v>0</v>
      </c>
      <c r="O1365" s="14"/>
      <c r="P1365" s="6">
        <v>43352.556354166663</v>
      </c>
      <c r="Q1365" s="15" t="s">
        <v>4935</v>
      </c>
      <c r="R1365" s="17" t="s">
        <v>4936</v>
      </c>
      <c r="S1365" s="11"/>
      <c r="T1365" s="11"/>
      <c r="U1365" s="10" t="str">
        <f>HYPERLINK("https://pbs.twimg.com/profile_images/1038758318095917056/VU2D6qHS.jpg","View")</f>
        <v>View</v>
      </c>
    </row>
    <row r="1366" spans="1:21" ht="51">
      <c r="A1366" s="6">
        <v>43439.746793981481</v>
      </c>
      <c r="B1366" s="7" t="str">
        <f>HYPERLINK("https://twitter.com/doblem83","@doblem83")</f>
        <v>@doblem83</v>
      </c>
      <c r="C1366" s="8" t="s">
        <v>4937</v>
      </c>
      <c r="D1366" s="9" t="s">
        <v>4938</v>
      </c>
      <c r="E1366" s="10" t="str">
        <f>HYPERLINK("https://twitter.com/doblem83/status/1070360999868465154","1070360999868465154")</f>
        <v>1070360999868465154</v>
      </c>
      <c r="F1366" s="16" t="s">
        <v>772</v>
      </c>
      <c r="G1366" s="11"/>
      <c r="H1366" s="11"/>
      <c r="I1366" s="12">
        <v>0</v>
      </c>
      <c r="J1366" s="12">
        <v>2</v>
      </c>
      <c r="K1366" s="13" t="str">
        <f>HYPERLINK("http://twitter.com/download/iphone","Twitter for iPhone")</f>
        <v>Twitter for iPhone</v>
      </c>
      <c r="L1366" s="12">
        <v>275</v>
      </c>
      <c r="M1366" s="12">
        <v>571</v>
      </c>
      <c r="N1366" s="12">
        <v>2</v>
      </c>
      <c r="O1366" s="14"/>
      <c r="P1366" s="6">
        <v>40894.613275462965</v>
      </c>
      <c r="Q1366" s="11"/>
      <c r="R1366" s="18"/>
      <c r="S1366" s="11"/>
      <c r="T1366" s="11"/>
      <c r="U1366" s="10" t="str">
        <f>HYPERLINK("https://pbs.twimg.com/profile_images/820553102738722820/0gbjNsQU.jpg","View")</f>
        <v>View</v>
      </c>
    </row>
    <row r="1367" spans="1:21" ht="30.6">
      <c r="A1367" s="6">
        <v>43439.740706018521</v>
      </c>
      <c r="B1367" s="7" t="str">
        <f>HYPERLINK("https://twitter.com/JVillores72","@JVillores72")</f>
        <v>@JVillores72</v>
      </c>
      <c r="C1367" s="8" t="s">
        <v>4939</v>
      </c>
      <c r="D1367" s="9" t="s">
        <v>4940</v>
      </c>
      <c r="E1367" s="10" t="str">
        <f>HYPERLINK("https://twitter.com/JVillores72/status/1070358793874272257","1070358793874272257")</f>
        <v>1070358793874272257</v>
      </c>
      <c r="F1367" s="16" t="s">
        <v>4914</v>
      </c>
      <c r="G1367" s="11"/>
      <c r="H1367" s="11"/>
      <c r="I1367" s="12">
        <v>0</v>
      </c>
      <c r="J1367" s="12">
        <v>0</v>
      </c>
      <c r="K1367" s="13" t="str">
        <f t="shared" ref="K1367:K1372" si="310">HYPERLINK("http://twitter.com/download/android","Twitter for Android")</f>
        <v>Twitter for Android</v>
      </c>
      <c r="L1367" s="12">
        <v>867</v>
      </c>
      <c r="M1367" s="12">
        <v>1448</v>
      </c>
      <c r="N1367" s="12">
        <v>5</v>
      </c>
      <c r="O1367" s="14"/>
      <c r="P1367" s="6">
        <v>41570.592962962961</v>
      </c>
      <c r="Q1367" s="15" t="s">
        <v>4941</v>
      </c>
      <c r="R1367" s="17" t="s">
        <v>4942</v>
      </c>
      <c r="S1367" s="11"/>
      <c r="T1367" s="11"/>
      <c r="U1367" s="10" t="str">
        <f>HYPERLINK("https://pbs.twimg.com/profile_images/1017391796513538048/WGx1N4t4.jpg","View")</f>
        <v>View</v>
      </c>
    </row>
    <row r="1368" spans="1:21" ht="51">
      <c r="A1368" s="6">
        <v>43439.740671296298</v>
      </c>
      <c r="B1368" s="7" t="str">
        <f>HYPERLINK("https://twitter.com/Indiosingracia_","@Indiosingracia_")</f>
        <v>@Indiosingracia_</v>
      </c>
      <c r="C1368" s="8" t="s">
        <v>1411</v>
      </c>
      <c r="D1368" s="9" t="s">
        <v>4943</v>
      </c>
      <c r="E1368" s="10" t="str">
        <f>HYPERLINK("https://twitter.com/Indiosingracia_/status/1070358780087554048","1070358780087554048")</f>
        <v>1070358780087554048</v>
      </c>
      <c r="F1368" s="11"/>
      <c r="G1368" s="16" t="s">
        <v>4944</v>
      </c>
      <c r="H1368" s="11"/>
      <c r="I1368" s="12">
        <v>0</v>
      </c>
      <c r="J1368" s="12">
        <v>0</v>
      </c>
      <c r="K1368" s="13" t="str">
        <f t="shared" si="310"/>
        <v>Twitter for Android</v>
      </c>
      <c r="L1368" s="12">
        <v>6</v>
      </c>
      <c r="M1368" s="12">
        <v>18</v>
      </c>
      <c r="N1368" s="12">
        <v>0</v>
      </c>
      <c r="O1368" s="14"/>
      <c r="P1368" s="6">
        <v>43438.760497685187</v>
      </c>
      <c r="Q1368" s="11"/>
      <c r="R1368" s="17" t="s">
        <v>1414</v>
      </c>
      <c r="S1368" s="11"/>
      <c r="T1368" s="11"/>
      <c r="U1368" s="10" t="str">
        <f>HYPERLINK("https://pbs.twimg.com/profile_images/1070006443485614080/t9b0OqZv.jpg","View")</f>
        <v>View</v>
      </c>
    </row>
    <row r="1369" spans="1:21" ht="51">
      <c r="A1369" s="6">
        <v>43439.740428240737</v>
      </c>
      <c r="B1369" s="7" t="str">
        <f>HYPERLINK("https://twitter.com/PepeBokeron","@PepeBokeron")</f>
        <v>@PepeBokeron</v>
      </c>
      <c r="C1369" s="8" t="s">
        <v>4945</v>
      </c>
      <c r="D1369" s="9" t="s">
        <v>4946</v>
      </c>
      <c r="E1369" s="10" t="str">
        <f>HYPERLINK("https://twitter.com/PepeBokeron/status/1070358695308079106","1070358695308079106")</f>
        <v>1070358695308079106</v>
      </c>
      <c r="F1369" s="11"/>
      <c r="G1369" s="11"/>
      <c r="H1369" s="11"/>
      <c r="I1369" s="12">
        <v>21</v>
      </c>
      <c r="J1369" s="12">
        <v>29</v>
      </c>
      <c r="K1369" s="13" t="str">
        <f t="shared" si="310"/>
        <v>Twitter for Android</v>
      </c>
      <c r="L1369" s="12">
        <v>1632</v>
      </c>
      <c r="M1369" s="12">
        <v>687</v>
      </c>
      <c r="N1369" s="12">
        <v>31</v>
      </c>
      <c r="O1369" s="14"/>
      <c r="P1369" s="6">
        <v>40500.855208333334</v>
      </c>
      <c r="Q1369" s="15" t="s">
        <v>4947</v>
      </c>
      <c r="R1369" s="17" t="s">
        <v>4948</v>
      </c>
      <c r="S1369" s="11"/>
      <c r="T1369" s="11"/>
      <c r="U1369" s="10" t="str">
        <f>HYPERLINK("https://pbs.twimg.com/profile_images/1042021649632116736/M9eXt6b9.jpg","View")</f>
        <v>View</v>
      </c>
    </row>
    <row r="1370" spans="1:21" ht="61.2">
      <c r="A1370" s="6">
        <v>43439.73946759259</v>
      </c>
      <c r="B1370" s="7" t="str">
        <f t="shared" ref="B1370:B1371" si="311">HYPERLINK("https://twitter.com/Vityspain","@Vityspain")</f>
        <v>@Vityspain</v>
      </c>
      <c r="C1370" s="8" t="s">
        <v>1661</v>
      </c>
      <c r="D1370" s="9" t="s">
        <v>4949</v>
      </c>
      <c r="E1370" s="10" t="str">
        <f>HYPERLINK("https://twitter.com/Vityspain/status/1070358347310874631","1070358347310874631")</f>
        <v>1070358347310874631</v>
      </c>
      <c r="F1370" s="15" t="s">
        <v>4950</v>
      </c>
      <c r="G1370" s="11"/>
      <c r="H1370" s="11"/>
      <c r="I1370" s="12">
        <v>0</v>
      </c>
      <c r="J1370" s="12">
        <v>0</v>
      </c>
      <c r="K1370" s="13" t="str">
        <f t="shared" si="310"/>
        <v>Twitter for Android</v>
      </c>
      <c r="L1370" s="12">
        <v>2159</v>
      </c>
      <c r="M1370" s="12">
        <v>2129</v>
      </c>
      <c r="N1370" s="12">
        <v>46</v>
      </c>
      <c r="O1370" s="14"/>
      <c r="P1370" s="6">
        <v>40530.921736111108</v>
      </c>
      <c r="Q1370" s="15" t="s">
        <v>197</v>
      </c>
      <c r="R1370" s="17" t="s">
        <v>1664</v>
      </c>
      <c r="S1370" s="11"/>
      <c r="T1370" s="11"/>
      <c r="U1370" s="10" t="str">
        <f t="shared" ref="U1370:U1371" si="312">HYPERLINK("https://pbs.twimg.com/profile_images/1071414131906019328/A5h9O2aJ.jpg","View")</f>
        <v>View</v>
      </c>
    </row>
    <row r="1371" spans="1:21" ht="51">
      <c r="A1371" s="6">
        <v>43439.738240740742</v>
      </c>
      <c r="B1371" s="7" t="str">
        <f t="shared" si="311"/>
        <v>@Vityspain</v>
      </c>
      <c r="C1371" s="8" t="s">
        <v>1661</v>
      </c>
      <c r="D1371" s="9" t="s">
        <v>4951</v>
      </c>
      <c r="E1371" s="10" t="str">
        <f>HYPERLINK("https://twitter.com/Vityspain/status/1070357902395891712","1070357902395891712")</f>
        <v>1070357902395891712</v>
      </c>
      <c r="F1371" s="16" t="s">
        <v>1568</v>
      </c>
      <c r="G1371" s="11"/>
      <c r="H1371" s="11"/>
      <c r="I1371" s="12">
        <v>14</v>
      </c>
      <c r="J1371" s="12">
        <v>11</v>
      </c>
      <c r="K1371" s="13" t="str">
        <f t="shared" si="310"/>
        <v>Twitter for Android</v>
      </c>
      <c r="L1371" s="12">
        <v>2159</v>
      </c>
      <c r="M1371" s="12">
        <v>2129</v>
      </c>
      <c r="N1371" s="12">
        <v>46</v>
      </c>
      <c r="O1371" s="14"/>
      <c r="P1371" s="6">
        <v>40530.921736111108</v>
      </c>
      <c r="Q1371" s="15" t="s">
        <v>197</v>
      </c>
      <c r="R1371" s="17" t="s">
        <v>1664</v>
      </c>
      <c r="S1371" s="11"/>
      <c r="T1371" s="11"/>
      <c r="U1371" s="10" t="str">
        <f t="shared" si="312"/>
        <v>View</v>
      </c>
    </row>
    <row r="1372" spans="1:21" ht="20.399999999999999">
      <c r="A1372" s="6">
        <v>43439.737442129626</v>
      </c>
      <c r="B1372" s="7" t="str">
        <f>HYPERLINK("https://twitter.com/Con_Mapi2","@Con_Mapi2")</f>
        <v>@Con_Mapi2</v>
      </c>
      <c r="C1372" s="8" t="s">
        <v>4952</v>
      </c>
      <c r="D1372" s="9" t="s">
        <v>4953</v>
      </c>
      <c r="E1372" s="10" t="str">
        <f>HYPERLINK("https://twitter.com/Con_Mapi2/status/1070357609457299460","1070357609457299460")</f>
        <v>1070357609457299460</v>
      </c>
      <c r="F1372" s="11"/>
      <c r="G1372" s="16" t="s">
        <v>4954</v>
      </c>
      <c r="H1372" s="11"/>
      <c r="I1372" s="12">
        <v>18</v>
      </c>
      <c r="J1372" s="12">
        <v>13</v>
      </c>
      <c r="K1372" s="13" t="str">
        <f t="shared" si="310"/>
        <v>Twitter for Android</v>
      </c>
      <c r="L1372" s="12">
        <v>4083</v>
      </c>
      <c r="M1372" s="12">
        <v>4972</v>
      </c>
      <c r="N1372" s="12">
        <v>18</v>
      </c>
      <c r="O1372" s="14"/>
      <c r="P1372" s="6">
        <v>42774.622662037036</v>
      </c>
      <c r="Q1372" s="11"/>
      <c r="R1372" s="17" t="s">
        <v>4955</v>
      </c>
      <c r="S1372" s="11"/>
      <c r="T1372" s="11"/>
      <c r="U1372" s="10" t="str">
        <f>HYPERLINK("https://pbs.twimg.com/profile_images/1063389868452130816/-WwstaJr.jpg","View")</f>
        <v>View</v>
      </c>
    </row>
    <row r="1373" spans="1:21" ht="40.799999999999997">
      <c r="A1373" s="6">
        <v>43439.736203703702</v>
      </c>
      <c r="B1373" s="7" t="str">
        <f>HYPERLINK("https://twitter.com/HipatiaBasatia","@HipatiaBasatia")</f>
        <v>@HipatiaBasatia</v>
      </c>
      <c r="C1373" s="8" t="s">
        <v>4956</v>
      </c>
      <c r="D1373" s="9" t="s">
        <v>4957</v>
      </c>
      <c r="E1373" s="10" t="str">
        <f>HYPERLINK("https://twitter.com/HipatiaBasatia/status/1070357161568538628","1070357161568538628")</f>
        <v>1070357161568538628</v>
      </c>
      <c r="F1373" s="11"/>
      <c r="G1373" s="11"/>
      <c r="H1373" s="11"/>
      <c r="I1373" s="12">
        <v>0</v>
      </c>
      <c r="J1373" s="12">
        <v>0</v>
      </c>
      <c r="K1373" s="13" t="str">
        <f>HYPERLINK("https://mobile.twitter.com","Twitter Lite")</f>
        <v>Twitter Lite</v>
      </c>
      <c r="L1373" s="12">
        <v>20</v>
      </c>
      <c r="M1373" s="12">
        <v>42</v>
      </c>
      <c r="N1373" s="12">
        <v>0</v>
      </c>
      <c r="O1373" s="14"/>
      <c r="P1373" s="6">
        <v>42030.685925925922</v>
      </c>
      <c r="Q1373" s="15" t="s">
        <v>4958</v>
      </c>
      <c r="R1373" s="17" t="s">
        <v>4959</v>
      </c>
      <c r="S1373" s="11"/>
      <c r="T1373" s="11"/>
      <c r="U1373" s="10" t="str">
        <f>HYPERLINK("https://pbs.twimg.com/profile_images/1062451499358474241/5wfcJIkU.jpg","View")</f>
        <v>View</v>
      </c>
    </row>
    <row r="1374" spans="1:21" ht="51">
      <c r="A1374" s="6">
        <v>43439.735590277778</v>
      </c>
      <c r="B1374" s="7" t="str">
        <f>HYPERLINK("https://twitter.com/ArtistJotaErre","@ArtistJotaErre")</f>
        <v>@ArtistJotaErre</v>
      </c>
      <c r="C1374" s="8" t="s">
        <v>2925</v>
      </c>
      <c r="D1374" s="9" t="s">
        <v>4960</v>
      </c>
      <c r="E1374" s="10" t="str">
        <f>HYPERLINK("https://twitter.com/ArtistJotaErre/status/1070356942009364480","1070356942009364480")</f>
        <v>1070356942009364480</v>
      </c>
      <c r="F1374" s="16" t="s">
        <v>4961</v>
      </c>
      <c r="G1374" s="16" t="s">
        <v>4962</v>
      </c>
      <c r="H1374" s="11"/>
      <c r="I1374" s="12">
        <v>0</v>
      </c>
      <c r="J1374" s="12">
        <v>1</v>
      </c>
      <c r="K1374" s="13" t="str">
        <f>HYPERLINK("http://twitter.com/download/android","Twitter for Android")</f>
        <v>Twitter for Android</v>
      </c>
      <c r="L1374" s="12">
        <v>636</v>
      </c>
      <c r="M1374" s="12">
        <v>541</v>
      </c>
      <c r="N1374" s="12">
        <v>16</v>
      </c>
      <c r="O1374" s="14"/>
      <c r="P1374" s="6">
        <v>40854.99732638889</v>
      </c>
      <c r="Q1374" s="11"/>
      <c r="R1374" s="17" t="s">
        <v>2927</v>
      </c>
      <c r="S1374" s="11"/>
      <c r="T1374" s="11"/>
      <c r="U1374" s="10" t="str">
        <f>HYPERLINK("https://pbs.twimg.com/profile_images/1052476566943469568/jfzMU6Qy.jpg","View")</f>
        <v>View</v>
      </c>
    </row>
    <row r="1375" spans="1:21" ht="40.799999999999997">
      <c r="A1375" s="6">
        <v>43439.733611111107</v>
      </c>
      <c r="B1375" s="7" t="str">
        <f>HYPERLINK("https://twitter.com/javiernegre10","@javiernegre10")</f>
        <v>@javiernegre10</v>
      </c>
      <c r="C1375" s="8" t="s">
        <v>4963</v>
      </c>
      <c r="D1375" s="9" t="s">
        <v>4964</v>
      </c>
      <c r="E1375" s="10" t="str">
        <f>HYPERLINK("https://twitter.com/javiernegre10/status/1070356221084004352","1070356221084004352")</f>
        <v>1070356221084004352</v>
      </c>
      <c r="F1375" s="16" t="s">
        <v>4965</v>
      </c>
      <c r="G1375" s="11"/>
      <c r="H1375" s="11"/>
      <c r="I1375" s="12">
        <v>47</v>
      </c>
      <c r="J1375" s="12">
        <v>158</v>
      </c>
      <c r="K1375" s="13" t="str">
        <f>HYPERLINK("http://twitter.com/download/iphone","Twitter for iPhone")</f>
        <v>Twitter for iPhone</v>
      </c>
      <c r="L1375" s="12">
        <v>23199</v>
      </c>
      <c r="M1375" s="12">
        <v>4921</v>
      </c>
      <c r="N1375" s="12">
        <v>234</v>
      </c>
      <c r="O1375" s="14"/>
      <c r="P1375" s="6">
        <v>40605.109085648146</v>
      </c>
      <c r="Q1375" s="11"/>
      <c r="R1375" s="17" t="s">
        <v>4966</v>
      </c>
      <c r="S1375" s="11"/>
      <c r="T1375" s="11"/>
      <c r="U1375" s="10" t="str">
        <f>HYPERLINK("https://pbs.twimg.com/profile_images/1070768581208670208/1hMKXvwC.jpg","View")</f>
        <v>View</v>
      </c>
    </row>
    <row r="1376" spans="1:21" ht="40.799999999999997">
      <c r="A1376" s="6">
        <v>43439.732847222222</v>
      </c>
      <c r="B1376" s="7" t="str">
        <f>HYPERLINK("https://twitter.com/Clement20391539","@Clement20391539")</f>
        <v>@Clement20391539</v>
      </c>
      <c r="C1376" s="8" t="s">
        <v>4967</v>
      </c>
      <c r="D1376" s="9" t="s">
        <v>4968</v>
      </c>
      <c r="E1376" s="10" t="str">
        <f>HYPERLINK("https://twitter.com/Clement20391539/status/1070355945665036290","1070355945665036290")</f>
        <v>1070355945665036290</v>
      </c>
      <c r="F1376" s="11"/>
      <c r="G1376" s="16" t="s">
        <v>4969</v>
      </c>
      <c r="H1376" s="11"/>
      <c r="I1376" s="12">
        <v>1</v>
      </c>
      <c r="J1376" s="12">
        <v>0</v>
      </c>
      <c r="K1376" s="13" t="str">
        <f t="shared" ref="K1376:K1380" si="313">HYPERLINK("http://twitter.com/download/android","Twitter for Android")</f>
        <v>Twitter for Android</v>
      </c>
      <c r="L1376" s="12">
        <v>10</v>
      </c>
      <c r="M1376" s="12">
        <v>78</v>
      </c>
      <c r="N1376" s="12">
        <v>0</v>
      </c>
      <c r="O1376" s="14"/>
      <c r="P1376" s="6">
        <v>43174.890648148154</v>
      </c>
      <c r="Q1376" s="15" t="s">
        <v>1371</v>
      </c>
      <c r="R1376" s="17" t="s">
        <v>4970</v>
      </c>
      <c r="S1376" s="11"/>
      <c r="T1376" s="11"/>
      <c r="U1376" s="10" t="str">
        <f>HYPERLINK("https://pbs.twimg.com/profile_images/974382964145565696/4Khe-0Tr.jpg","View")</f>
        <v>View</v>
      </c>
    </row>
    <row r="1377" spans="1:21" ht="51">
      <c r="A1377" s="6">
        <v>43439.731712962966</v>
      </c>
      <c r="B1377" s="7" t="str">
        <f>HYPERLINK("https://twitter.com/ClavedeSole","@ClavedeSole")</f>
        <v>@ClavedeSole</v>
      </c>
      <c r="C1377" s="8" t="s">
        <v>4971</v>
      </c>
      <c r="D1377" s="9" t="s">
        <v>4972</v>
      </c>
      <c r="E1377" s="10" t="str">
        <f>HYPERLINK("https://twitter.com/ClavedeSole/status/1070355533973065728","1070355533973065728")</f>
        <v>1070355533973065728</v>
      </c>
      <c r="F1377" s="16" t="s">
        <v>4973</v>
      </c>
      <c r="G1377" s="11"/>
      <c r="H1377" s="11"/>
      <c r="I1377" s="12">
        <v>1</v>
      </c>
      <c r="J1377" s="12">
        <v>1</v>
      </c>
      <c r="K1377" s="13" t="str">
        <f t="shared" si="313"/>
        <v>Twitter for Android</v>
      </c>
      <c r="L1377" s="12">
        <v>4878</v>
      </c>
      <c r="M1377" s="12">
        <v>4736</v>
      </c>
      <c r="N1377" s="12">
        <v>116</v>
      </c>
      <c r="O1377" s="14"/>
      <c r="P1377" s="6">
        <v>40455.861018518517</v>
      </c>
      <c r="Q1377" s="11"/>
      <c r="R1377" s="17" t="s">
        <v>4974</v>
      </c>
      <c r="S1377" s="11"/>
      <c r="T1377" s="11"/>
      <c r="U1377" s="10" t="str">
        <f>HYPERLINK("https://pbs.twimg.com/profile_images/1068302136507813894/XI_RcAKX.jpg","View")</f>
        <v>View</v>
      </c>
    </row>
    <row r="1378" spans="1:21" ht="51">
      <c r="A1378" s="6">
        <v>43439.729594907403</v>
      </c>
      <c r="B1378" s="7" t="str">
        <f>HYPERLINK("https://twitter.com/JVillores72","@JVillores72")</f>
        <v>@JVillores72</v>
      </c>
      <c r="C1378" s="8" t="s">
        <v>4939</v>
      </c>
      <c r="D1378" s="9" t="s">
        <v>4975</v>
      </c>
      <c r="E1378" s="10" t="str">
        <f>HYPERLINK("https://twitter.com/JVillores72/status/1070354765765320704","1070354765765320704")</f>
        <v>1070354765765320704</v>
      </c>
      <c r="F1378" s="11"/>
      <c r="G1378" s="11"/>
      <c r="H1378" s="11"/>
      <c r="I1378" s="12">
        <v>0</v>
      </c>
      <c r="J1378" s="12">
        <v>1</v>
      </c>
      <c r="K1378" s="13" t="str">
        <f t="shared" si="313"/>
        <v>Twitter for Android</v>
      </c>
      <c r="L1378" s="12">
        <v>867</v>
      </c>
      <c r="M1378" s="12">
        <v>1448</v>
      </c>
      <c r="N1378" s="12">
        <v>5</v>
      </c>
      <c r="O1378" s="14"/>
      <c r="P1378" s="6">
        <v>41570.592962962961</v>
      </c>
      <c r="Q1378" s="15" t="s">
        <v>4941</v>
      </c>
      <c r="R1378" s="17" t="s">
        <v>4942</v>
      </c>
      <c r="S1378" s="11"/>
      <c r="T1378" s="11"/>
      <c r="U1378" s="10" t="str">
        <f>HYPERLINK("https://pbs.twimg.com/profile_images/1017391796513538048/WGx1N4t4.jpg","View")</f>
        <v>View</v>
      </c>
    </row>
    <row r="1379" spans="1:21" ht="91.8">
      <c r="A1379" s="6">
        <v>43439.729525462964</v>
      </c>
      <c r="B1379" s="7" t="str">
        <f>HYPERLINK("https://twitter.com/NickHighwind","@NickHighwind")</f>
        <v>@NickHighwind</v>
      </c>
      <c r="C1379" s="8" t="s">
        <v>4976</v>
      </c>
      <c r="D1379" s="9" t="s">
        <v>4977</v>
      </c>
      <c r="E1379" s="10" t="str">
        <f>HYPERLINK("https://twitter.com/NickHighwind/status/1070354740926693376","1070354740926693376")</f>
        <v>1070354740926693376</v>
      </c>
      <c r="F1379" s="16" t="s">
        <v>4978</v>
      </c>
      <c r="G1379" s="11"/>
      <c r="H1379" s="11"/>
      <c r="I1379" s="12">
        <v>0</v>
      </c>
      <c r="J1379" s="12">
        <v>3</v>
      </c>
      <c r="K1379" s="13" t="str">
        <f t="shared" si="313"/>
        <v>Twitter for Android</v>
      </c>
      <c r="L1379" s="12">
        <v>242</v>
      </c>
      <c r="M1379" s="12">
        <v>225</v>
      </c>
      <c r="N1379" s="12">
        <v>3</v>
      </c>
      <c r="O1379" s="14"/>
      <c r="P1379" s="6">
        <v>42844.874456018515</v>
      </c>
      <c r="Q1379" s="15" t="s">
        <v>4979</v>
      </c>
      <c r="R1379" s="18"/>
      <c r="S1379" s="16" t="s">
        <v>4980</v>
      </c>
      <c r="T1379" s="11"/>
      <c r="U1379" s="10" t="str">
        <f>HYPERLINK("https://pbs.twimg.com/profile_images/1058105187787776001/ScCbV8ja.jpg","View")</f>
        <v>View</v>
      </c>
    </row>
    <row r="1380" spans="1:21" ht="61.2">
      <c r="A1380" s="6">
        <v>43439.728587962964</v>
      </c>
      <c r="B1380" s="7" t="str">
        <f>HYPERLINK("https://twitter.com/springsteen_81","@springsteen_81")</f>
        <v>@springsteen_81</v>
      </c>
      <c r="C1380" s="8" t="s">
        <v>4981</v>
      </c>
      <c r="D1380" s="9" t="s">
        <v>4982</v>
      </c>
      <c r="E1380" s="10" t="str">
        <f>HYPERLINK("https://twitter.com/springsteen_81/status/1070354404396675072","1070354404396675072")</f>
        <v>1070354404396675072</v>
      </c>
      <c r="F1380" s="16" t="s">
        <v>4983</v>
      </c>
      <c r="G1380" s="16" t="s">
        <v>4984</v>
      </c>
      <c r="H1380" s="11"/>
      <c r="I1380" s="12">
        <v>7</v>
      </c>
      <c r="J1380" s="12">
        <v>13</v>
      </c>
      <c r="K1380" s="13" t="str">
        <f t="shared" si="313"/>
        <v>Twitter for Android</v>
      </c>
      <c r="L1380" s="12">
        <v>5707</v>
      </c>
      <c r="M1380" s="12">
        <v>869</v>
      </c>
      <c r="N1380" s="12">
        <v>87</v>
      </c>
      <c r="O1380" s="14"/>
      <c r="P1380" s="6">
        <v>40310.765405092592</v>
      </c>
      <c r="Q1380" s="15" t="s">
        <v>4985</v>
      </c>
      <c r="R1380" s="17" t="s">
        <v>4986</v>
      </c>
      <c r="S1380" s="11"/>
      <c r="T1380" s="11"/>
      <c r="U1380" s="10" t="str">
        <f>HYPERLINK("https://pbs.twimg.com/profile_images/1068444493433749504/90hipFsz.jpg","View")</f>
        <v>View</v>
      </c>
    </row>
    <row r="1381" spans="1:21" ht="51">
      <c r="A1381" s="6">
        <v>43439.727881944447</v>
      </c>
      <c r="B1381" s="7" t="str">
        <f>HYPERLINK("https://twitter.com/japi44","@japi44")</f>
        <v>@japi44</v>
      </c>
      <c r="C1381" s="8" t="s">
        <v>4987</v>
      </c>
      <c r="D1381" s="9" t="s">
        <v>4988</v>
      </c>
      <c r="E1381" s="10" t="str">
        <f>HYPERLINK("https://twitter.com/japi44/status/1070354148825227264","1070354148825227264")</f>
        <v>1070354148825227264</v>
      </c>
      <c r="F1381" s="16" t="s">
        <v>772</v>
      </c>
      <c r="G1381" s="11"/>
      <c r="H1381" s="11"/>
      <c r="I1381" s="12">
        <v>0</v>
      </c>
      <c r="J1381" s="12">
        <v>0</v>
      </c>
      <c r="K1381" s="13" t="str">
        <f>HYPERLINK("http://twitter.com/#!/download/ipad","Twitter for iPad")</f>
        <v>Twitter for iPad</v>
      </c>
      <c r="L1381" s="12">
        <v>60</v>
      </c>
      <c r="M1381" s="12">
        <v>103</v>
      </c>
      <c r="N1381" s="12">
        <v>1</v>
      </c>
      <c r="O1381" s="14"/>
      <c r="P1381" s="6">
        <v>40620.676435185189</v>
      </c>
      <c r="Q1381" s="11"/>
      <c r="R1381" s="17" t="s">
        <v>4989</v>
      </c>
      <c r="S1381" s="11"/>
      <c r="T1381" s="11"/>
      <c r="U1381" s="10" t="str">
        <f>HYPERLINK("https://pbs.twimg.com/profile_images/921811901247614977/4VfNiiPo.jpg","View")</f>
        <v>View</v>
      </c>
    </row>
    <row r="1382" spans="1:21" ht="20.399999999999999">
      <c r="A1382" s="6">
        <v>43439.725810185184</v>
      </c>
      <c r="B1382" s="7" t="str">
        <f>HYPERLINK("https://twitter.com/MaxXiiMusHD","@MaxXiiMusHD")</f>
        <v>@MaxXiiMusHD</v>
      </c>
      <c r="C1382" s="8" t="s">
        <v>4990</v>
      </c>
      <c r="D1382" s="9" t="s">
        <v>1042</v>
      </c>
      <c r="E1382" s="10" t="str">
        <f>HYPERLINK("https://twitter.com/MaxXiiMusHD/status/1070353397621157889","1070353397621157889")</f>
        <v>1070353397621157889</v>
      </c>
      <c r="F1382" s="16" t="s">
        <v>1043</v>
      </c>
      <c r="G1382" s="11"/>
      <c r="H1382" s="11"/>
      <c r="I1382" s="12">
        <v>0</v>
      </c>
      <c r="J1382" s="12">
        <v>0</v>
      </c>
      <c r="K1382" s="13" t="str">
        <f>HYPERLINK("https://www.google.com/","Google")</f>
        <v>Google</v>
      </c>
      <c r="L1382" s="12">
        <v>14</v>
      </c>
      <c r="M1382" s="12">
        <v>23</v>
      </c>
      <c r="N1382" s="12">
        <v>0</v>
      </c>
      <c r="O1382" s="14"/>
      <c r="P1382" s="6">
        <v>41244.427129629628</v>
      </c>
      <c r="Q1382" s="11"/>
      <c r="R1382" s="17" t="s">
        <v>4991</v>
      </c>
      <c r="S1382" s="16" t="s">
        <v>4992</v>
      </c>
      <c r="T1382" s="11"/>
      <c r="U1382" s="10" t="str">
        <f>HYPERLINK("https://pbs.twimg.com/profile_images/378800000059028497/6503d74e6292595a19da43c6640097e8.png","View")</f>
        <v>View</v>
      </c>
    </row>
    <row r="1383" spans="1:21" ht="30.6">
      <c r="A1383" s="6">
        <v>43439.725578703699</v>
      </c>
      <c r="B1383" s="7" t="str">
        <f>HYPERLINK("https://twitter.com/Agustin17751846","@Agustin17751846")</f>
        <v>@Agustin17751846</v>
      </c>
      <c r="C1383" s="8" t="s">
        <v>4993</v>
      </c>
      <c r="D1383" s="9" t="s">
        <v>315</v>
      </c>
      <c r="E1383" s="10" t="str">
        <f>HYPERLINK("https://twitter.com/Agustin17751846/status/1070353314158661633","1070353314158661633")</f>
        <v>1070353314158661633</v>
      </c>
      <c r="F1383" s="16" t="s">
        <v>4994</v>
      </c>
      <c r="G1383" s="11"/>
      <c r="H1383" s="11"/>
      <c r="I1383" s="12">
        <v>0</v>
      </c>
      <c r="J1383" s="12">
        <v>0</v>
      </c>
      <c r="K1383" s="13" t="str">
        <f t="shared" ref="K1383:K1384" si="314">HYPERLINK("http://twitter.com/download/android","Twitter for Android")</f>
        <v>Twitter for Android</v>
      </c>
      <c r="L1383" s="12">
        <v>535</v>
      </c>
      <c r="M1383" s="12">
        <v>1182</v>
      </c>
      <c r="N1383" s="12">
        <v>11</v>
      </c>
      <c r="O1383" s="14"/>
      <c r="P1383" s="6">
        <v>40953.717719907407</v>
      </c>
      <c r="Q1383" s="15" t="s">
        <v>612</v>
      </c>
      <c r="R1383" s="17" t="s">
        <v>4995</v>
      </c>
      <c r="S1383" s="11"/>
      <c r="T1383" s="11"/>
      <c r="U1383" s="10" t="str">
        <f>HYPERLINK("https://pbs.twimg.com/profile_images/1045058787072249858/lODqHpzh.jpg","View")</f>
        <v>View</v>
      </c>
    </row>
    <row r="1384" spans="1:21" ht="40.799999999999997">
      <c r="A1384" s="6">
        <v>43439.724675925929</v>
      </c>
      <c r="B1384" s="7" t="str">
        <f>HYPERLINK("https://twitter.com/chequevara_","@chequevara_")</f>
        <v>@chequevara_</v>
      </c>
      <c r="C1384" s="8" t="s">
        <v>2200</v>
      </c>
      <c r="D1384" s="9" t="s">
        <v>4996</v>
      </c>
      <c r="E1384" s="10" t="str">
        <f>HYPERLINK("https://twitter.com/chequevara_/status/1070352983790104576","1070352983790104576")</f>
        <v>1070352983790104576</v>
      </c>
      <c r="F1384" s="11"/>
      <c r="G1384" s="11"/>
      <c r="H1384" s="11"/>
      <c r="I1384" s="12">
        <v>0</v>
      </c>
      <c r="J1384" s="12">
        <v>2</v>
      </c>
      <c r="K1384" s="13" t="str">
        <f t="shared" si="314"/>
        <v>Twitter for Android</v>
      </c>
      <c r="L1384" s="12">
        <v>2656</v>
      </c>
      <c r="M1384" s="12">
        <v>228</v>
      </c>
      <c r="N1384" s="12">
        <v>15</v>
      </c>
      <c r="O1384" s="14"/>
      <c r="P1384" s="6">
        <v>42374.437905092593</v>
      </c>
      <c r="Q1384" s="11"/>
      <c r="R1384" s="17" t="s">
        <v>2203</v>
      </c>
      <c r="S1384" s="11"/>
      <c r="T1384" s="11"/>
      <c r="U1384" s="10" t="str">
        <f>HYPERLINK("https://pbs.twimg.com/profile_images/957294038817951745/cEoYtoL8.jpg","View")</f>
        <v>View</v>
      </c>
    </row>
    <row r="1385" spans="1:21" ht="30.6">
      <c r="A1385" s="6">
        <v>43439.724016203705</v>
      </c>
      <c r="B1385" s="7" t="str">
        <f>HYPERLINK("https://twitter.com/NapoDainamait","@NapoDainamait")</f>
        <v>@NapoDainamait</v>
      </c>
      <c r="C1385" s="8" t="s">
        <v>4997</v>
      </c>
      <c r="D1385" s="9" t="s">
        <v>4998</v>
      </c>
      <c r="E1385" s="10" t="str">
        <f>HYPERLINK("https://twitter.com/NapoDainamait/status/1070352747919273984","1070352747919273984")</f>
        <v>1070352747919273984</v>
      </c>
      <c r="F1385" s="11"/>
      <c r="G1385" s="16" t="s">
        <v>4999</v>
      </c>
      <c r="H1385" s="11"/>
      <c r="I1385" s="12">
        <v>1</v>
      </c>
      <c r="J1385" s="12">
        <v>5</v>
      </c>
      <c r="K1385" s="13" t="str">
        <f>HYPERLINK("http://twitter.com","Twitter Web Client")</f>
        <v>Twitter Web Client</v>
      </c>
      <c r="L1385" s="12">
        <v>1841</v>
      </c>
      <c r="M1385" s="12">
        <v>253</v>
      </c>
      <c r="N1385" s="12">
        <v>18</v>
      </c>
      <c r="O1385" s="14"/>
      <c r="P1385" s="6">
        <v>40739.966493055559</v>
      </c>
      <c r="Q1385" s="15" t="s">
        <v>185</v>
      </c>
      <c r="R1385" s="17" t="s">
        <v>5000</v>
      </c>
      <c r="S1385" s="16" t="s">
        <v>5001</v>
      </c>
      <c r="T1385" s="11"/>
      <c r="U1385" s="10" t="str">
        <f>HYPERLINK("https://pbs.twimg.com/profile_images/1059800631735697408/Wd5aTEQT.jpg","View")</f>
        <v>View</v>
      </c>
    </row>
    <row r="1386" spans="1:21" ht="40.799999999999997">
      <c r="A1386" s="6">
        <v>43439.723530092597</v>
      </c>
      <c r="B1386" s="7" t="str">
        <f>HYPERLINK("https://twitter.com/DavidJotxi","@DavidJotxi")</f>
        <v>@DavidJotxi</v>
      </c>
      <c r="C1386" s="8" t="s">
        <v>5002</v>
      </c>
      <c r="D1386" s="9" t="s">
        <v>5003</v>
      </c>
      <c r="E1386" s="10" t="str">
        <f>HYPERLINK("https://twitter.com/DavidJotxi/status/1070352571754299394","1070352571754299394")</f>
        <v>1070352571754299394</v>
      </c>
      <c r="F1386" s="16" t="s">
        <v>5004</v>
      </c>
      <c r="G1386" s="11"/>
      <c r="H1386" s="11"/>
      <c r="I1386" s="12">
        <v>0</v>
      </c>
      <c r="J1386" s="12">
        <v>0</v>
      </c>
      <c r="K1386" s="13" t="str">
        <f>HYPERLINK("http://twitter.com/download/android","Twitter for Android")</f>
        <v>Twitter for Android</v>
      </c>
      <c r="L1386" s="12">
        <v>575</v>
      </c>
      <c r="M1386" s="12">
        <v>1949</v>
      </c>
      <c r="N1386" s="12">
        <v>18</v>
      </c>
      <c r="O1386" s="14"/>
      <c r="P1386" s="6">
        <v>40822.628923611112</v>
      </c>
      <c r="Q1386" s="15" t="s">
        <v>991</v>
      </c>
      <c r="R1386" s="17" t="s">
        <v>5005</v>
      </c>
      <c r="S1386" s="16" t="s">
        <v>5006</v>
      </c>
      <c r="T1386" s="11"/>
      <c r="U1386" s="10" t="str">
        <f>HYPERLINK("https://pbs.twimg.com/profile_images/640140413228163072/LWDXvAbH.jpg","View")</f>
        <v>View</v>
      </c>
    </row>
    <row r="1387" spans="1:21" ht="51">
      <c r="A1387" s="6">
        <v>43439.723437499997</v>
      </c>
      <c r="B1387" s="7" t="str">
        <f>HYPERLINK("https://twitter.com/AndresSanto_","@AndresSanto_")</f>
        <v>@AndresSanto_</v>
      </c>
      <c r="C1387" s="8" t="s">
        <v>5007</v>
      </c>
      <c r="D1387" s="9" t="s">
        <v>5008</v>
      </c>
      <c r="E1387" s="10" t="str">
        <f>HYPERLINK("https://twitter.com/AndresSanto_/status/1070352537818152960","1070352537818152960")</f>
        <v>1070352537818152960</v>
      </c>
      <c r="F1387" s="11"/>
      <c r="G1387" s="16" t="s">
        <v>5009</v>
      </c>
      <c r="H1387" s="11"/>
      <c r="I1387" s="12">
        <v>1</v>
      </c>
      <c r="J1387" s="12">
        <v>1</v>
      </c>
      <c r="K1387" s="13" t="str">
        <f>HYPERLINK("http://twitter.com","Twitter Web Client")</f>
        <v>Twitter Web Client</v>
      </c>
      <c r="L1387" s="12">
        <v>2347</v>
      </c>
      <c r="M1387" s="12">
        <v>1778</v>
      </c>
      <c r="N1387" s="12">
        <v>68</v>
      </c>
      <c r="O1387" s="14"/>
      <c r="P1387" s="6">
        <v>40773.75135416667</v>
      </c>
      <c r="Q1387" s="15" t="s">
        <v>676</v>
      </c>
      <c r="R1387" s="17" t="s">
        <v>5010</v>
      </c>
      <c r="S1387" s="11"/>
      <c r="T1387" s="11"/>
      <c r="U1387" s="10" t="str">
        <f>HYPERLINK("https://pbs.twimg.com/profile_images/1062028217861709824/wyaW6mQk.jpg","View")</f>
        <v>View</v>
      </c>
    </row>
    <row r="1388" spans="1:21" ht="51">
      <c r="A1388" s="6">
        <v>43439.723020833335</v>
      </c>
      <c r="B1388" s="7" t="str">
        <f>HYPERLINK("https://twitter.com/Jano_bf","@Jano_bf")</f>
        <v>@Jano_bf</v>
      </c>
      <c r="C1388" s="8" t="s">
        <v>5011</v>
      </c>
      <c r="D1388" s="9" t="s">
        <v>5012</v>
      </c>
      <c r="E1388" s="10" t="str">
        <f>HYPERLINK("https://twitter.com/Jano_bf/status/1070352383715303424","1070352383715303424")</f>
        <v>1070352383715303424</v>
      </c>
      <c r="F1388" s="11"/>
      <c r="G1388" s="11"/>
      <c r="H1388" s="11"/>
      <c r="I1388" s="12">
        <v>0</v>
      </c>
      <c r="J1388" s="12">
        <v>1</v>
      </c>
      <c r="K1388" s="13" t="str">
        <f t="shared" ref="K1388:K1389" si="315">HYPERLINK("http://twitter.com/download/android","Twitter for Android")</f>
        <v>Twitter for Android</v>
      </c>
      <c r="L1388" s="12">
        <v>528</v>
      </c>
      <c r="M1388" s="12">
        <v>460</v>
      </c>
      <c r="N1388" s="12">
        <v>18</v>
      </c>
      <c r="O1388" s="14"/>
      <c r="P1388" s="6">
        <v>40664.921423611115</v>
      </c>
      <c r="Q1388" s="15" t="s">
        <v>197</v>
      </c>
      <c r="R1388" s="17" t="s">
        <v>5013</v>
      </c>
      <c r="S1388" s="11"/>
      <c r="T1388" s="11"/>
      <c r="U1388" s="10" t="str">
        <f>HYPERLINK("https://pbs.twimg.com/profile_images/2626872401/kx74jou4rvhekkc149e6.jpeg","View")</f>
        <v>View</v>
      </c>
    </row>
    <row r="1389" spans="1:21" ht="40.799999999999997">
      <c r="A1389" s="6">
        <v>43439.72283564815</v>
      </c>
      <c r="B1389" s="7" t="str">
        <f>HYPERLINK("https://twitter.com/eguskialde369","@eguskialde369")</f>
        <v>@eguskialde369</v>
      </c>
      <c r="C1389" s="8" t="s">
        <v>5014</v>
      </c>
      <c r="D1389" s="9" t="s">
        <v>5015</v>
      </c>
      <c r="E1389" s="10" t="str">
        <f>HYPERLINK("https://twitter.com/eguskialde369/status/1070352318183309312","1070352318183309312")</f>
        <v>1070352318183309312</v>
      </c>
      <c r="F1389" s="15" t="s">
        <v>3938</v>
      </c>
      <c r="G1389" s="11"/>
      <c r="H1389" s="11"/>
      <c r="I1389" s="12">
        <v>3</v>
      </c>
      <c r="J1389" s="12">
        <v>5</v>
      </c>
      <c r="K1389" s="13" t="str">
        <f t="shared" si="315"/>
        <v>Twitter for Android</v>
      </c>
      <c r="L1389" s="12">
        <v>1067</v>
      </c>
      <c r="M1389" s="12">
        <v>989</v>
      </c>
      <c r="N1389" s="12">
        <v>20</v>
      </c>
      <c r="O1389" s="14"/>
      <c r="P1389" s="6">
        <v>41442.00849537037</v>
      </c>
      <c r="Q1389" s="11"/>
      <c r="R1389" s="17" t="s">
        <v>5016</v>
      </c>
      <c r="S1389" s="11"/>
      <c r="T1389" s="11"/>
      <c r="U1389" s="10" t="str">
        <f>HYPERLINK("https://pbs.twimg.com/profile_images/1060767567105552384/wdHOLC0t.jpg","View")</f>
        <v>View</v>
      </c>
    </row>
    <row r="1390" spans="1:21" ht="40.799999999999997">
      <c r="A1390" s="6">
        <v>43439.722303240742</v>
      </c>
      <c r="B1390" s="7" t="str">
        <f>HYPERLINK("https://twitter.com/lextresabogados","@lextresabogados")</f>
        <v>@lextresabogados</v>
      </c>
      <c r="C1390" s="8" t="s">
        <v>672</v>
      </c>
      <c r="D1390" s="9" t="s">
        <v>5017</v>
      </c>
      <c r="E1390" s="10" t="str">
        <f>HYPERLINK("https://twitter.com/lextresabogados/status/1070352125455151105","1070352125455151105")</f>
        <v>1070352125455151105</v>
      </c>
      <c r="F1390" s="16" t="s">
        <v>189</v>
      </c>
      <c r="G1390" s="16" t="s">
        <v>5018</v>
      </c>
      <c r="H1390" s="11"/>
      <c r="I1390" s="12">
        <v>0</v>
      </c>
      <c r="J1390" s="12">
        <v>2</v>
      </c>
      <c r="K1390" s="13" t="str">
        <f>HYPERLINK("http://35.180.36.179","botize nueva")</f>
        <v>botize nueva</v>
      </c>
      <c r="L1390" s="12">
        <v>2912</v>
      </c>
      <c r="M1390" s="12">
        <v>3525</v>
      </c>
      <c r="N1390" s="12">
        <v>26</v>
      </c>
      <c r="O1390" s="14"/>
      <c r="P1390" s="6">
        <v>42880.770949074074</v>
      </c>
      <c r="Q1390" s="15" t="s">
        <v>676</v>
      </c>
      <c r="R1390" s="17" t="s">
        <v>677</v>
      </c>
      <c r="S1390" s="16" t="s">
        <v>678</v>
      </c>
      <c r="T1390" s="11"/>
      <c r="U1390" s="10" t="str">
        <f>HYPERLINK("https://pbs.twimg.com/profile_images/1068056978679898113/YnjKwiVy.jpg","View")</f>
        <v>View</v>
      </c>
    </row>
    <row r="1391" spans="1:21" ht="20.399999999999999">
      <c r="A1391" s="6">
        <v>43439.721597222218</v>
      </c>
      <c r="B1391" s="7" t="str">
        <f>HYPERLINK("https://twitter.com/Fernand93775634","@Fernand93775634")</f>
        <v>@Fernand93775634</v>
      </c>
      <c r="C1391" s="8" t="s">
        <v>214</v>
      </c>
      <c r="D1391" s="9" t="s">
        <v>5019</v>
      </c>
      <c r="E1391" s="10" t="str">
        <f>HYPERLINK("https://twitter.com/Fernand93775634/status/1070351869464199169","1070351869464199169")</f>
        <v>1070351869464199169</v>
      </c>
      <c r="F1391" s="16" t="s">
        <v>2006</v>
      </c>
      <c r="G1391" s="11"/>
      <c r="H1391" s="11"/>
      <c r="I1391" s="12">
        <v>1</v>
      </c>
      <c r="J1391" s="12">
        <v>0</v>
      </c>
      <c r="K1391" s="13" t="str">
        <f t="shared" ref="K1391:K1393" si="316">HYPERLINK("http://twitter.com/download/android","Twitter for Android")</f>
        <v>Twitter for Android</v>
      </c>
      <c r="L1391" s="12">
        <v>815</v>
      </c>
      <c r="M1391" s="12">
        <v>1151</v>
      </c>
      <c r="N1391" s="12">
        <v>3</v>
      </c>
      <c r="O1391" s="14"/>
      <c r="P1391" s="6">
        <v>42999.692280092597</v>
      </c>
      <c r="Q1391" s="15" t="s">
        <v>197</v>
      </c>
      <c r="R1391" s="18"/>
      <c r="S1391" s="11"/>
      <c r="T1391" s="11"/>
      <c r="U1391" s="10" t="str">
        <f>HYPERLINK("https://pbs.twimg.com/profile_images/1005223861103874050/zFTg1Ik1.jpg","View")</f>
        <v>View</v>
      </c>
    </row>
    <row r="1392" spans="1:21" ht="61.2">
      <c r="A1392" s="6">
        <v>43439.720833333333</v>
      </c>
      <c r="B1392" s="7" t="str">
        <f>HYPERLINK("https://twitter.com/vajejs","@vajejs")</f>
        <v>@vajejs</v>
      </c>
      <c r="C1392" s="8" t="s">
        <v>4624</v>
      </c>
      <c r="D1392" s="9" t="s">
        <v>5020</v>
      </c>
      <c r="E1392" s="10" t="str">
        <f>HYPERLINK("https://twitter.com/vajejs/status/1070351594011660290","1070351594011660290")</f>
        <v>1070351594011660290</v>
      </c>
      <c r="F1392" s="11"/>
      <c r="G1392" s="11"/>
      <c r="H1392" s="11"/>
      <c r="I1392" s="12">
        <v>0</v>
      </c>
      <c r="J1392" s="12">
        <v>0</v>
      </c>
      <c r="K1392" s="13" t="str">
        <f t="shared" si="316"/>
        <v>Twitter for Android</v>
      </c>
      <c r="L1392" s="12">
        <v>21</v>
      </c>
      <c r="M1392" s="12">
        <v>95</v>
      </c>
      <c r="N1392" s="12">
        <v>0</v>
      </c>
      <c r="O1392" s="14"/>
      <c r="P1392" s="6">
        <v>42986.545937499999</v>
      </c>
      <c r="Q1392" s="15" t="s">
        <v>531</v>
      </c>
      <c r="R1392" s="17" t="s">
        <v>4626</v>
      </c>
      <c r="S1392" s="11"/>
      <c r="T1392" s="11"/>
      <c r="U1392" s="10" t="str">
        <f>HYPERLINK("https://pbs.twimg.com/profile_images/1062373256362147841/ZeGEYnkl.jpg","View")</f>
        <v>View</v>
      </c>
    </row>
    <row r="1393" spans="1:21" ht="30.6">
      <c r="A1393" s="6">
        <v>43439.719907407409</v>
      </c>
      <c r="B1393" s="7" t="str">
        <f>HYPERLINK("https://twitter.com/ElPatri82549481","@ElPatri82549481")</f>
        <v>@ElPatri82549481</v>
      </c>
      <c r="C1393" s="8" t="s">
        <v>5021</v>
      </c>
      <c r="D1393" s="9" t="s">
        <v>5022</v>
      </c>
      <c r="E1393" s="10" t="str">
        <f>HYPERLINK("https://twitter.com/ElPatri82549481/status/1070351258345766914","1070351258345766914")</f>
        <v>1070351258345766914</v>
      </c>
      <c r="F1393" s="11"/>
      <c r="G1393" s="16" t="s">
        <v>5023</v>
      </c>
      <c r="H1393" s="11"/>
      <c r="I1393" s="12">
        <v>0</v>
      </c>
      <c r="J1393" s="12">
        <v>0</v>
      </c>
      <c r="K1393" s="13" t="str">
        <f t="shared" si="316"/>
        <v>Twitter for Android</v>
      </c>
      <c r="L1393" s="12">
        <v>9</v>
      </c>
      <c r="M1393" s="12">
        <v>99</v>
      </c>
      <c r="N1393" s="12">
        <v>0</v>
      </c>
      <c r="O1393" s="14"/>
      <c r="P1393" s="6">
        <v>43325.383275462962</v>
      </c>
      <c r="Q1393" s="11"/>
      <c r="R1393" s="18"/>
      <c r="S1393" s="11"/>
      <c r="T1393" s="11"/>
      <c r="U1393" s="10" t="str">
        <f>HYPERLINK("https://pbs.twimg.com/profile_images/1028902813852684288/O8UlNxsr.jpg","View")</f>
        <v>View</v>
      </c>
    </row>
    <row r="1394" spans="1:21" ht="30.6">
      <c r="A1394" s="6">
        <v>43439.719178240739</v>
      </c>
      <c r="B1394" s="7" t="str">
        <f>HYPERLINK("https://twitter.com/rogercrunch","@rogercrunch")</f>
        <v>@rogercrunch</v>
      </c>
      <c r="C1394" s="8" t="s">
        <v>5024</v>
      </c>
      <c r="D1394" s="9" t="s">
        <v>5025</v>
      </c>
      <c r="E1394" s="10" t="str">
        <f>HYPERLINK("https://twitter.com/rogercrunch/status/1070350992712056833","1070350992712056833")</f>
        <v>1070350992712056833</v>
      </c>
      <c r="F1394" s="11"/>
      <c r="G1394" s="11"/>
      <c r="H1394" s="11"/>
      <c r="I1394" s="12">
        <v>0</v>
      </c>
      <c r="J1394" s="12">
        <v>2</v>
      </c>
      <c r="K1394" s="13" t="str">
        <f>HYPERLINK("http://www.facebook.com/twitter","Facebook")</f>
        <v>Facebook</v>
      </c>
      <c r="L1394" s="12">
        <v>432</v>
      </c>
      <c r="M1394" s="12">
        <v>416</v>
      </c>
      <c r="N1394" s="12">
        <v>15</v>
      </c>
      <c r="O1394" s="14"/>
      <c r="P1394" s="6">
        <v>40652.552604166667</v>
      </c>
      <c r="Q1394" s="15" t="s">
        <v>612</v>
      </c>
      <c r="R1394" s="17" t="s">
        <v>5026</v>
      </c>
      <c r="S1394" s="16" t="s">
        <v>5027</v>
      </c>
      <c r="T1394" s="11"/>
      <c r="U1394" s="10" t="str">
        <f>HYPERLINK("https://pbs.twimg.com/profile_images/3094203043/ada6589199c349fe1dc10f94ba546976.png","View")</f>
        <v>View</v>
      </c>
    </row>
    <row r="1395" spans="1:21" ht="91.8">
      <c r="A1395" s="6">
        <v>43439.716469907406</v>
      </c>
      <c r="B1395" s="7" t="str">
        <f>HYPERLINK("https://twitter.com/MichelM2000","@MichelM2000")</f>
        <v>@MichelM2000</v>
      </c>
      <c r="C1395" s="8" t="s">
        <v>4376</v>
      </c>
      <c r="D1395" s="9" t="s">
        <v>5028</v>
      </c>
      <c r="E1395" s="10" t="str">
        <f>HYPERLINK("https://twitter.com/MichelM2000/status/1070350012394147851","1070350012394147851")</f>
        <v>1070350012394147851</v>
      </c>
      <c r="F1395" s="15" t="s">
        <v>5029</v>
      </c>
      <c r="G1395" s="11"/>
      <c r="H1395" s="11"/>
      <c r="I1395" s="12">
        <v>0</v>
      </c>
      <c r="J1395" s="12">
        <v>0</v>
      </c>
      <c r="K1395" s="13" t="str">
        <f>HYPERLINK("https://mobile.twitter.com","Twitter Lite")</f>
        <v>Twitter Lite</v>
      </c>
      <c r="L1395" s="12">
        <v>207</v>
      </c>
      <c r="M1395" s="12">
        <v>198</v>
      </c>
      <c r="N1395" s="12">
        <v>9</v>
      </c>
      <c r="O1395" s="14"/>
      <c r="P1395" s="6">
        <v>41094.960752314815</v>
      </c>
      <c r="Q1395" s="15" t="s">
        <v>4378</v>
      </c>
      <c r="R1395" s="17" t="s">
        <v>4379</v>
      </c>
      <c r="S1395" s="11"/>
      <c r="T1395" s="11"/>
      <c r="U1395" s="10" t="str">
        <f>HYPERLINK("https://pbs.twimg.com/profile_images/709080114433277952/GIU6X7VT.jpg","View")</f>
        <v>View</v>
      </c>
    </row>
    <row r="1396" spans="1:21" ht="30.6">
      <c r="A1396" s="6">
        <v>43439.716180555552</v>
      </c>
      <c r="B1396" s="7" t="str">
        <f>HYPERLINK("https://twitter.com/benibick","@benibick")</f>
        <v>@benibick</v>
      </c>
      <c r="C1396" s="8" t="s">
        <v>5030</v>
      </c>
      <c r="D1396" s="9" t="s">
        <v>5031</v>
      </c>
      <c r="E1396" s="10" t="str">
        <f>HYPERLINK("https://twitter.com/benibick/status/1070349908186710016","1070349908186710016")</f>
        <v>1070349908186710016</v>
      </c>
      <c r="F1396" s="11"/>
      <c r="G1396" s="11"/>
      <c r="H1396" s="11"/>
      <c r="I1396" s="12">
        <v>1</v>
      </c>
      <c r="J1396" s="12">
        <v>1</v>
      </c>
      <c r="K1396" s="13" t="str">
        <f t="shared" ref="K1396:K1397" si="317">HYPERLINK("http://twitter.com","Twitter Web Client")</f>
        <v>Twitter Web Client</v>
      </c>
      <c r="L1396" s="12">
        <v>299</v>
      </c>
      <c r="M1396" s="12">
        <v>416</v>
      </c>
      <c r="N1396" s="12">
        <v>9</v>
      </c>
      <c r="O1396" s="14"/>
      <c r="P1396" s="6">
        <v>42410.855636574073</v>
      </c>
      <c r="Q1396" s="11"/>
      <c r="R1396" s="17" t="s">
        <v>5032</v>
      </c>
      <c r="S1396" s="11"/>
      <c r="T1396" s="11"/>
      <c r="U1396" s="10" t="str">
        <f>HYPERLINK("https://pbs.twimg.com/profile_images/708057572734017536/joXlqZ30.jpg","View")</f>
        <v>View</v>
      </c>
    </row>
    <row r="1397" spans="1:21" ht="51">
      <c r="A1397" s="6">
        <v>43439.71603009259</v>
      </c>
      <c r="B1397" s="7" t="str">
        <f>HYPERLINK("https://twitter.com/AndresSanto_","@AndresSanto_")</f>
        <v>@AndresSanto_</v>
      </c>
      <c r="C1397" s="8" t="s">
        <v>5007</v>
      </c>
      <c r="D1397" s="9" t="s">
        <v>5033</v>
      </c>
      <c r="E1397" s="10" t="str">
        <f>HYPERLINK("https://twitter.com/AndresSanto_/status/1070349852855468033","1070349852855468033")</f>
        <v>1070349852855468033</v>
      </c>
      <c r="F1397" s="11"/>
      <c r="G1397" s="16" t="s">
        <v>5034</v>
      </c>
      <c r="H1397" s="11"/>
      <c r="I1397" s="12">
        <v>1</v>
      </c>
      <c r="J1397" s="12">
        <v>2</v>
      </c>
      <c r="K1397" s="13" t="str">
        <f t="shared" si="317"/>
        <v>Twitter Web Client</v>
      </c>
      <c r="L1397" s="12">
        <v>2347</v>
      </c>
      <c r="M1397" s="12">
        <v>1778</v>
      </c>
      <c r="N1397" s="12">
        <v>68</v>
      </c>
      <c r="O1397" s="14"/>
      <c r="P1397" s="6">
        <v>40773.75135416667</v>
      </c>
      <c r="Q1397" s="15" t="s">
        <v>676</v>
      </c>
      <c r="R1397" s="17" t="s">
        <v>5010</v>
      </c>
      <c r="S1397" s="11"/>
      <c r="T1397" s="11"/>
      <c r="U1397" s="10" t="str">
        <f>HYPERLINK("https://pbs.twimg.com/profile_images/1062028217861709824/wyaW6mQk.jpg","View")</f>
        <v>View</v>
      </c>
    </row>
    <row r="1398" spans="1:21" ht="40.799999999999997">
      <c r="A1398" s="6">
        <v>43439.714618055557</v>
      </c>
      <c r="B1398" s="7" t="str">
        <f>HYPERLINK("https://twitter.com/Moninuez77","@Moninuez77")</f>
        <v>@Moninuez77</v>
      </c>
      <c r="C1398" s="8" t="s">
        <v>5035</v>
      </c>
      <c r="D1398" s="9" t="s">
        <v>5036</v>
      </c>
      <c r="E1398" s="10" t="str">
        <f>HYPERLINK("https://twitter.com/Moninuez77/status/1070349338369503232","1070349338369503232")</f>
        <v>1070349338369503232</v>
      </c>
      <c r="F1398" s="16" t="s">
        <v>5037</v>
      </c>
      <c r="G1398" s="11"/>
      <c r="H1398" s="11"/>
      <c r="I1398" s="12">
        <v>0</v>
      </c>
      <c r="J1398" s="12">
        <v>0</v>
      </c>
      <c r="K1398" s="13" t="str">
        <f>HYPERLINK("http://twitter.com/download/iphone","Twitter for iPhone")</f>
        <v>Twitter for iPhone</v>
      </c>
      <c r="L1398" s="12">
        <v>82</v>
      </c>
      <c r="M1398" s="12">
        <v>302</v>
      </c>
      <c r="N1398" s="12">
        <v>3</v>
      </c>
      <c r="O1398" s="14"/>
      <c r="P1398" s="6">
        <v>40804.587743055556</v>
      </c>
      <c r="Q1398" s="11"/>
      <c r="R1398" s="17" t="s">
        <v>5038</v>
      </c>
      <c r="S1398" s="16" t="s">
        <v>5039</v>
      </c>
      <c r="T1398" s="11"/>
      <c r="U1398" s="10" t="str">
        <f>HYPERLINK("https://pbs.twimg.com/profile_images/1548512481/image.jpg","View")</f>
        <v>View</v>
      </c>
    </row>
    <row r="1399" spans="1:21" ht="40.799999999999997">
      <c r="A1399" s="6">
        <v>43439.71393518518</v>
      </c>
      <c r="B1399" s="7" t="str">
        <f>HYPERLINK("https://twitter.com/pixelillo","@pixelillo")</f>
        <v>@pixelillo</v>
      </c>
      <c r="C1399" s="8" t="s">
        <v>5040</v>
      </c>
      <c r="D1399" s="9" t="s">
        <v>5041</v>
      </c>
      <c r="E1399" s="10" t="str">
        <f>HYPERLINK("https://twitter.com/pixelillo/status/1070349093585735680","1070349093585735680")</f>
        <v>1070349093585735680</v>
      </c>
      <c r="F1399" s="11"/>
      <c r="G1399" s="11"/>
      <c r="H1399" s="11"/>
      <c r="I1399" s="12">
        <v>0</v>
      </c>
      <c r="J1399" s="12">
        <v>1</v>
      </c>
      <c r="K1399" s="13" t="str">
        <f t="shared" ref="K1399:K1401" si="318">HYPERLINK("http://twitter.com/download/android","Twitter for Android")</f>
        <v>Twitter for Android</v>
      </c>
      <c r="L1399" s="12">
        <v>8295</v>
      </c>
      <c r="M1399" s="12">
        <v>1858</v>
      </c>
      <c r="N1399" s="12">
        <v>650</v>
      </c>
      <c r="O1399" s="14"/>
      <c r="P1399" s="6">
        <v>39952.836793981478</v>
      </c>
      <c r="Q1399" s="15" t="s">
        <v>5042</v>
      </c>
      <c r="R1399" s="17" t="s">
        <v>5043</v>
      </c>
      <c r="S1399" s="16" t="s">
        <v>5044</v>
      </c>
      <c r="T1399" s="11"/>
      <c r="U1399" s="10" t="str">
        <f>HYPERLINK("https://pbs.twimg.com/profile_images/875404802636881921/j5-JyIv9.jpg","View")</f>
        <v>View</v>
      </c>
    </row>
    <row r="1400" spans="1:21" ht="71.400000000000006">
      <c r="A1400" s="6">
        <v>43439.713726851856</v>
      </c>
      <c r="B1400" s="7" t="str">
        <f>HYPERLINK("https://twitter.com/PiopioBaroja","@PiopioBaroja")</f>
        <v>@PiopioBaroja</v>
      </c>
      <c r="C1400" s="8" t="s">
        <v>5045</v>
      </c>
      <c r="D1400" s="9" t="s">
        <v>5046</v>
      </c>
      <c r="E1400" s="10" t="str">
        <f>HYPERLINK("https://twitter.com/PiopioBaroja/status/1070349015559086080","1070349015559086080")</f>
        <v>1070349015559086080</v>
      </c>
      <c r="F1400" s="15" t="s">
        <v>5047</v>
      </c>
      <c r="G1400" s="16" t="s">
        <v>4830</v>
      </c>
      <c r="H1400" s="11"/>
      <c r="I1400" s="12">
        <v>1</v>
      </c>
      <c r="J1400" s="12">
        <v>1</v>
      </c>
      <c r="K1400" s="13" t="str">
        <f t="shared" si="318"/>
        <v>Twitter for Android</v>
      </c>
      <c r="L1400" s="12">
        <v>1297</v>
      </c>
      <c r="M1400" s="12">
        <v>576</v>
      </c>
      <c r="N1400" s="12">
        <v>25</v>
      </c>
      <c r="O1400" s="14"/>
      <c r="P1400" s="6">
        <v>42065.957106481481</v>
      </c>
      <c r="Q1400" s="15" t="s">
        <v>5048</v>
      </c>
      <c r="R1400" s="17" t="s">
        <v>5049</v>
      </c>
      <c r="S1400" s="11"/>
      <c r="T1400" s="11"/>
      <c r="U1400" s="10" t="str">
        <f>HYPERLINK("https://pbs.twimg.com/profile_images/883044593037709314/-rOlAzP3.jpg","View")</f>
        <v>View</v>
      </c>
    </row>
    <row r="1401" spans="1:21" ht="51">
      <c r="A1401" s="6">
        <v>43439.712245370371</v>
      </c>
      <c r="B1401" s="7" t="str">
        <f>HYPERLINK("https://twitter.com/angellopezbeltr","@angellopezbeltr")</f>
        <v>@angellopezbeltr</v>
      </c>
      <c r="C1401" s="8" t="s">
        <v>5050</v>
      </c>
      <c r="D1401" s="9" t="s">
        <v>5051</v>
      </c>
      <c r="E1401" s="10" t="str">
        <f>HYPERLINK("https://twitter.com/angellopezbeltr/status/1070348478352646144","1070348478352646144")</f>
        <v>1070348478352646144</v>
      </c>
      <c r="F1401" s="11"/>
      <c r="G1401" s="11"/>
      <c r="H1401" s="11"/>
      <c r="I1401" s="12">
        <v>0</v>
      </c>
      <c r="J1401" s="12">
        <v>2</v>
      </c>
      <c r="K1401" s="13" t="str">
        <f t="shared" si="318"/>
        <v>Twitter for Android</v>
      </c>
      <c r="L1401" s="12">
        <v>4142</v>
      </c>
      <c r="M1401" s="12">
        <v>4675</v>
      </c>
      <c r="N1401" s="12">
        <v>11</v>
      </c>
      <c r="O1401" s="14"/>
      <c r="P1401" s="6">
        <v>41405.83929398148</v>
      </c>
      <c r="Q1401" s="15" t="s">
        <v>5052</v>
      </c>
      <c r="R1401" s="17" t="s">
        <v>5053</v>
      </c>
      <c r="S1401" s="11"/>
      <c r="T1401" s="11"/>
      <c r="U1401" s="10" t="str">
        <f>HYPERLINK("https://pbs.twimg.com/profile_images/488428964944564226/uTUTlJ2y.jpeg","View")</f>
        <v>View</v>
      </c>
    </row>
    <row r="1402" spans="1:21" ht="51">
      <c r="A1402" s="6">
        <v>43439.709722222222</v>
      </c>
      <c r="B1402" s="7" t="str">
        <f t="shared" ref="B1402:B1403" si="319">HYPERLINK("https://twitter.com/bitMomentum","@bitMomentum")</f>
        <v>@bitMomentum</v>
      </c>
      <c r="C1402" s="8" t="s">
        <v>82</v>
      </c>
      <c r="D1402" s="9" t="s">
        <v>5054</v>
      </c>
      <c r="E1402" s="10" t="str">
        <f>HYPERLINK("https://twitter.com/bitMomentum/status/1070347564564799489","1070347564564799489")</f>
        <v>1070347564564799489</v>
      </c>
      <c r="F1402" s="11"/>
      <c r="G1402" s="11"/>
      <c r="H1402" s="11"/>
      <c r="I1402" s="12">
        <v>0</v>
      </c>
      <c r="J1402" s="12">
        <v>0</v>
      </c>
      <c r="K1402" s="13" t="str">
        <f t="shared" ref="K1402:K1403" si="320">HYPERLINK("http://www.bitmomentum.com","bitMomentum Bot")</f>
        <v>bitMomentum Bot</v>
      </c>
      <c r="L1402" s="12">
        <v>10253</v>
      </c>
      <c r="M1402" s="12">
        <v>1059</v>
      </c>
      <c r="N1402" s="12">
        <v>263</v>
      </c>
      <c r="O1402" s="14"/>
      <c r="P1402" s="6">
        <v>41608.667511574073</v>
      </c>
      <c r="Q1402" s="11"/>
      <c r="R1402" s="17" t="s">
        <v>84</v>
      </c>
      <c r="S1402" s="16" t="s">
        <v>85</v>
      </c>
      <c r="T1402" s="11"/>
      <c r="U1402" s="10" t="str">
        <f t="shared" ref="U1402:U1403" si="321">HYPERLINK("https://pbs.twimg.com/profile_images/378800000862185241/20ij2H3u.png","View")</f>
        <v>View</v>
      </c>
    </row>
    <row r="1403" spans="1:21" ht="51">
      <c r="A1403" s="6">
        <v>43439.709027777775</v>
      </c>
      <c r="B1403" s="7" t="str">
        <f t="shared" si="319"/>
        <v>@bitMomentum</v>
      </c>
      <c r="C1403" s="8" t="s">
        <v>82</v>
      </c>
      <c r="D1403" s="9" t="s">
        <v>5055</v>
      </c>
      <c r="E1403" s="10" t="str">
        <f>HYPERLINK("https://twitter.com/bitMomentum/status/1070347313145622528","1070347313145622528")</f>
        <v>1070347313145622528</v>
      </c>
      <c r="F1403" s="11"/>
      <c r="G1403" s="11"/>
      <c r="H1403" s="11"/>
      <c r="I1403" s="12">
        <v>0</v>
      </c>
      <c r="J1403" s="12">
        <v>0</v>
      </c>
      <c r="K1403" s="13" t="str">
        <f t="shared" si="320"/>
        <v>bitMomentum Bot</v>
      </c>
      <c r="L1403" s="12">
        <v>10253</v>
      </c>
      <c r="M1403" s="12">
        <v>1059</v>
      </c>
      <c r="N1403" s="12">
        <v>263</v>
      </c>
      <c r="O1403" s="14"/>
      <c r="P1403" s="6">
        <v>41608.667511574073</v>
      </c>
      <c r="Q1403" s="11"/>
      <c r="R1403" s="17" t="s">
        <v>84</v>
      </c>
      <c r="S1403" s="16" t="s">
        <v>85</v>
      </c>
      <c r="T1403" s="11"/>
      <c r="U1403" s="10" t="str">
        <f t="shared" si="321"/>
        <v>View</v>
      </c>
    </row>
    <row r="1404" spans="1:21" ht="51">
      <c r="A1404" s="6">
        <v>43439.708587962959</v>
      </c>
      <c r="B1404" s="7" t="str">
        <f>HYPERLINK("https://twitter.com/opinioner26","@opinioner26")</f>
        <v>@opinioner26</v>
      </c>
      <c r="C1404" s="8" t="s">
        <v>254</v>
      </c>
      <c r="D1404" s="9" t="s">
        <v>5056</v>
      </c>
      <c r="E1404" s="10" t="str">
        <f>HYPERLINK("https://twitter.com/opinioner26/status/1070347155930578950","1070347155930578950")</f>
        <v>1070347155930578950</v>
      </c>
      <c r="F1404" s="11"/>
      <c r="G1404" s="16" t="s">
        <v>5057</v>
      </c>
      <c r="H1404" s="11"/>
      <c r="I1404" s="12">
        <v>44</v>
      </c>
      <c r="J1404" s="12">
        <v>42</v>
      </c>
      <c r="K1404" s="13" t="str">
        <f>HYPERLINK("http://twitter.com/download/android","Twitter for Android")</f>
        <v>Twitter for Android</v>
      </c>
      <c r="L1404" s="12">
        <v>3681</v>
      </c>
      <c r="M1404" s="12">
        <v>4778</v>
      </c>
      <c r="N1404" s="12">
        <v>3</v>
      </c>
      <c r="O1404" s="14"/>
      <c r="P1404" s="6">
        <v>41342.659386574072</v>
      </c>
      <c r="Q1404" s="15" t="s">
        <v>197</v>
      </c>
      <c r="R1404" s="17" t="s">
        <v>257</v>
      </c>
      <c r="S1404" s="11"/>
      <c r="T1404" s="11"/>
      <c r="U1404" s="10" t="str">
        <f>HYPERLINK("https://pbs.twimg.com/profile_images/1012273439309254662/Dhw3JHA5.jpg","View")</f>
        <v>View</v>
      </c>
    </row>
    <row r="1405" spans="1:21" ht="20.399999999999999">
      <c r="A1405" s="6">
        <v>43439.706631944442</v>
      </c>
      <c r="B1405" s="7" t="str">
        <f>HYPERLINK("https://twitter.com/LAREVUELO53","@LAREVUELO53")</f>
        <v>@LAREVUELO53</v>
      </c>
      <c r="C1405" s="8" t="s">
        <v>1426</v>
      </c>
      <c r="D1405" s="9" t="s">
        <v>5058</v>
      </c>
      <c r="E1405" s="10" t="str">
        <f>HYPERLINK("https://twitter.com/LAREVUELO53/status/1070346444668891137","1070346444668891137")</f>
        <v>1070346444668891137</v>
      </c>
      <c r="F1405" s="16" t="s">
        <v>5059</v>
      </c>
      <c r="G1405" s="11"/>
      <c r="H1405" s="11"/>
      <c r="I1405" s="12">
        <v>1</v>
      </c>
      <c r="J1405" s="12">
        <v>1</v>
      </c>
      <c r="K1405" s="13" t="str">
        <f>HYPERLINK("http://twitter.com","Twitter Web Client")</f>
        <v>Twitter Web Client</v>
      </c>
      <c r="L1405" s="12">
        <v>415</v>
      </c>
      <c r="M1405" s="12">
        <v>1519</v>
      </c>
      <c r="N1405" s="12">
        <v>4</v>
      </c>
      <c r="O1405" s="14"/>
      <c r="P1405" s="6">
        <v>40681.9059375</v>
      </c>
      <c r="Q1405" s="15" t="s">
        <v>1429</v>
      </c>
      <c r="R1405" s="18"/>
      <c r="S1405" s="16" t="s">
        <v>1430</v>
      </c>
      <c r="T1405" s="11"/>
      <c r="U1405" s="10" t="str">
        <f>HYPERLINK("https://pbs.twimg.com/profile_images/719705597436960769/UB_JVe0J.jpg","View")</f>
        <v>View</v>
      </c>
    </row>
    <row r="1406" spans="1:21" ht="30.6">
      <c r="A1406" s="6">
        <v>43439.705995370372</v>
      </c>
      <c r="B1406" s="7" t="str">
        <f>HYPERLINK("https://twitter.com/jordinogueras61","@jordinogueras61")</f>
        <v>@jordinogueras61</v>
      </c>
      <c r="C1406" s="8" t="s">
        <v>2453</v>
      </c>
      <c r="D1406" s="9" t="s">
        <v>5060</v>
      </c>
      <c r="E1406" s="10" t="str">
        <f>HYPERLINK("https://twitter.com/jordinogueras61/status/1070346215097806848","1070346215097806848")</f>
        <v>1070346215097806848</v>
      </c>
      <c r="F1406" s="11"/>
      <c r="G1406" s="11"/>
      <c r="H1406" s="11"/>
      <c r="I1406" s="12">
        <v>0</v>
      </c>
      <c r="J1406" s="12">
        <v>1</v>
      </c>
      <c r="K1406" s="13" t="str">
        <f>HYPERLINK("http://twitter.com/download/iphone","Twitter for iPhone")</f>
        <v>Twitter for iPhone</v>
      </c>
      <c r="L1406" s="12">
        <v>5700</v>
      </c>
      <c r="M1406" s="12">
        <v>2398</v>
      </c>
      <c r="N1406" s="12">
        <v>54</v>
      </c>
      <c r="O1406" s="14"/>
      <c r="P1406" s="6">
        <v>40841.809432870374</v>
      </c>
      <c r="Q1406" s="15" t="s">
        <v>2456</v>
      </c>
      <c r="R1406" s="17" t="s">
        <v>2457</v>
      </c>
      <c r="S1406" s="11"/>
      <c r="T1406" s="11"/>
      <c r="U1406" s="10" t="str">
        <f>HYPERLINK("https://pbs.twimg.com/profile_images/912081977624469504/VaWDKBvj.jpg","View")</f>
        <v>View</v>
      </c>
    </row>
    <row r="1407" spans="1:21" ht="20.399999999999999">
      <c r="A1407" s="6">
        <v>43439.705810185187</v>
      </c>
      <c r="B1407" s="7" t="str">
        <f>HYPERLINK("https://twitter.com/ralphsaxxon1","@ralphsaxxon1")</f>
        <v>@ralphsaxxon1</v>
      </c>
      <c r="C1407" s="8" t="s">
        <v>5061</v>
      </c>
      <c r="D1407" s="9" t="s">
        <v>5062</v>
      </c>
      <c r="E1407" s="10" t="str">
        <f>HYPERLINK("https://twitter.com/ralphsaxxon1/status/1070346148358045696","1070346148358045696")</f>
        <v>1070346148358045696</v>
      </c>
      <c r="F1407" s="11"/>
      <c r="G1407" s="16" t="s">
        <v>5063</v>
      </c>
      <c r="H1407" s="11"/>
      <c r="I1407" s="12">
        <v>0</v>
      </c>
      <c r="J1407" s="12">
        <v>1</v>
      </c>
      <c r="K1407" s="13" t="str">
        <f>HYPERLINK("http://twitter.com/download/android","Twitter for Android")</f>
        <v>Twitter for Android</v>
      </c>
      <c r="L1407" s="12">
        <v>441</v>
      </c>
      <c r="M1407" s="12">
        <v>732</v>
      </c>
      <c r="N1407" s="12">
        <v>9</v>
      </c>
      <c r="O1407" s="14"/>
      <c r="P1407" s="6">
        <v>41007.756678240738</v>
      </c>
      <c r="Q1407" s="15" t="s">
        <v>986</v>
      </c>
      <c r="R1407" s="17" t="s">
        <v>5064</v>
      </c>
      <c r="S1407" s="11"/>
      <c r="T1407" s="11"/>
      <c r="U1407" s="10" t="str">
        <f>HYPERLINK("https://pbs.twimg.com/profile_images/1030519421381603329/QJp3Fnyx.jpg","View")</f>
        <v>View</v>
      </c>
    </row>
    <row r="1408" spans="1:21" ht="13.2">
      <c r="A1408" s="6">
        <v>43439.705081018517</v>
      </c>
      <c r="B1408" s="7" t="str">
        <f>HYPERLINK("https://twitter.com/JMDamiaM","@JMDamiaM")</f>
        <v>@JMDamiaM</v>
      </c>
      <c r="C1408" s="8" t="s">
        <v>5065</v>
      </c>
      <c r="D1408" s="9" t="s">
        <v>5066</v>
      </c>
      <c r="E1408" s="10" t="str">
        <f>HYPERLINK("https://twitter.com/JMDamiaM/status/1070345882388844544","1070345882388844544")</f>
        <v>1070345882388844544</v>
      </c>
      <c r="F1408" s="16" t="s">
        <v>4914</v>
      </c>
      <c r="G1408" s="11"/>
      <c r="H1408" s="11"/>
      <c r="I1408" s="12">
        <v>0</v>
      </c>
      <c r="J1408" s="12">
        <v>0</v>
      </c>
      <c r="K1408" s="13" t="str">
        <f>HYPERLINK("http://twitter.com/download/iphone","Twitter for iPhone")</f>
        <v>Twitter for iPhone</v>
      </c>
      <c r="L1408" s="12">
        <v>80</v>
      </c>
      <c r="M1408" s="12">
        <v>434</v>
      </c>
      <c r="N1408" s="12">
        <v>1</v>
      </c>
      <c r="O1408" s="14"/>
      <c r="P1408" s="6">
        <v>41985.672199074077</v>
      </c>
      <c r="Q1408" s="11"/>
      <c r="R1408" s="18"/>
      <c r="S1408" s="11"/>
      <c r="T1408" s="11"/>
      <c r="U1408" s="10" t="str">
        <f>HYPERLINK("https://pbs.twimg.com/profile_images/543480256217497601/b-b_UjMf.jpeg","View")</f>
        <v>View</v>
      </c>
    </row>
    <row r="1409" spans="1:21" ht="30.6">
      <c r="A1409" s="6">
        <v>43439.704814814817</v>
      </c>
      <c r="B1409" s="7" t="str">
        <f>HYPERLINK("https://twitter.com/El_TylerDurden","@El_TylerDurden")</f>
        <v>@El_TylerDurden</v>
      </c>
      <c r="C1409" s="8" t="s">
        <v>5067</v>
      </c>
      <c r="D1409" s="9" t="s">
        <v>5068</v>
      </c>
      <c r="E1409" s="10" t="str">
        <f>HYPERLINK("https://twitter.com/El_TylerDurden/status/1070345785609515008","1070345785609515008")</f>
        <v>1070345785609515008</v>
      </c>
      <c r="F1409" s="11"/>
      <c r="G1409" s="16" t="s">
        <v>5069</v>
      </c>
      <c r="H1409" s="11"/>
      <c r="I1409" s="12">
        <v>0</v>
      </c>
      <c r="J1409" s="12">
        <v>0</v>
      </c>
      <c r="K1409" s="13" t="str">
        <f>HYPERLINK("http://twitter.com/download/android","Twitter for Android")</f>
        <v>Twitter for Android</v>
      </c>
      <c r="L1409" s="12">
        <v>302</v>
      </c>
      <c r="M1409" s="12">
        <v>141</v>
      </c>
      <c r="N1409" s="12">
        <v>5</v>
      </c>
      <c r="O1409" s="14"/>
      <c r="P1409" s="6">
        <v>43336.098796296297</v>
      </c>
      <c r="Q1409" s="15" t="s">
        <v>5070</v>
      </c>
      <c r="R1409" s="17" t="s">
        <v>5071</v>
      </c>
      <c r="S1409" s="16" t="s">
        <v>5072</v>
      </c>
      <c r="T1409" s="11"/>
      <c r="U1409" s="10" t="str">
        <f>HYPERLINK("https://pbs.twimg.com/profile_images/1069437120207568897/IQUoeJtd.jpg","View")</f>
        <v>View</v>
      </c>
    </row>
    <row r="1410" spans="1:21" ht="40.799999999999997">
      <c r="A1410" s="6">
        <v>43439.704004629632</v>
      </c>
      <c r="B1410" s="7" t="str">
        <f>HYPERLINK("https://twitter.com/MaxJovenGay","@MaxJovenGay")</f>
        <v>@MaxJovenGay</v>
      </c>
      <c r="C1410" s="8" t="s">
        <v>5073</v>
      </c>
      <c r="D1410" s="9" t="s">
        <v>5074</v>
      </c>
      <c r="E1410" s="10" t="str">
        <f>HYPERLINK("https://twitter.com/MaxJovenGay/status/1070345493157474304","1070345493157474304")</f>
        <v>1070345493157474304</v>
      </c>
      <c r="F1410" s="16" t="s">
        <v>5075</v>
      </c>
      <c r="G1410" s="16" t="s">
        <v>5076</v>
      </c>
      <c r="H1410" s="11"/>
      <c r="I1410" s="12">
        <v>2</v>
      </c>
      <c r="J1410" s="12">
        <v>2</v>
      </c>
      <c r="K1410" s="13" t="str">
        <f>HYPERLINK("http://twitter.com","Twitter Web Client")</f>
        <v>Twitter Web Client</v>
      </c>
      <c r="L1410" s="12">
        <v>2759</v>
      </c>
      <c r="M1410" s="12">
        <v>2090</v>
      </c>
      <c r="N1410" s="12">
        <v>50</v>
      </c>
      <c r="O1410" s="14"/>
      <c r="P1410" s="6">
        <v>42333.919942129629</v>
      </c>
      <c r="Q1410" s="15" t="s">
        <v>5077</v>
      </c>
      <c r="R1410" s="17" t="s">
        <v>5078</v>
      </c>
      <c r="S1410" s="16" t="s">
        <v>5079</v>
      </c>
      <c r="T1410" s="11"/>
      <c r="U1410" s="10" t="str">
        <f>HYPERLINK("https://pbs.twimg.com/profile_images/1002519881584185345/qemAcfXh.jpg","View")</f>
        <v>View</v>
      </c>
    </row>
    <row r="1411" spans="1:21" ht="20.399999999999999">
      <c r="A1411" s="6">
        <v>43439.701516203699</v>
      </c>
      <c r="B1411" s="7" t="str">
        <f>HYPERLINK("https://twitter.com/Mabe_Fer_","@Mabe_Fer_")</f>
        <v>@Mabe_Fer_</v>
      </c>
      <c r="C1411" s="8" t="s">
        <v>94</v>
      </c>
      <c r="D1411" s="9" t="s">
        <v>5080</v>
      </c>
      <c r="E1411" s="10" t="str">
        <f>HYPERLINK("https://twitter.com/Mabe_Fer_/status/1070344592250294272","1070344592250294272")</f>
        <v>1070344592250294272</v>
      </c>
      <c r="F1411" s="16" t="s">
        <v>4314</v>
      </c>
      <c r="G1411" s="11"/>
      <c r="H1411" s="11"/>
      <c r="I1411" s="12">
        <v>0</v>
      </c>
      <c r="J1411" s="12">
        <v>1</v>
      </c>
      <c r="K1411" s="13" t="str">
        <f t="shared" ref="K1411:K1412" si="322">HYPERLINK("http://twitter.com/download/android","Twitter for Android")</f>
        <v>Twitter for Android</v>
      </c>
      <c r="L1411" s="12">
        <v>384</v>
      </c>
      <c r="M1411" s="12">
        <v>254</v>
      </c>
      <c r="N1411" s="12">
        <v>0</v>
      </c>
      <c r="O1411" s="14"/>
      <c r="P1411" s="6">
        <v>43237.386134259257</v>
      </c>
      <c r="Q1411" s="15" t="s">
        <v>97</v>
      </c>
      <c r="R1411" s="17" t="s">
        <v>98</v>
      </c>
      <c r="S1411" s="11"/>
      <c r="T1411" s="11"/>
      <c r="U1411" s="10" t="str">
        <f>HYPERLINK("https://pbs.twimg.com/profile_images/1063816291390316544/8Ae4B9b0.jpg","View")</f>
        <v>View</v>
      </c>
    </row>
    <row r="1412" spans="1:21" ht="40.799999999999997">
      <c r="A1412" s="6">
        <v>43439.701203703706</v>
      </c>
      <c r="B1412" s="7" t="str">
        <f>HYPERLINK("https://twitter.com/maya5710","@maya5710")</f>
        <v>@maya5710</v>
      </c>
      <c r="C1412" s="8" t="s">
        <v>5081</v>
      </c>
      <c r="D1412" s="9" t="s">
        <v>5082</v>
      </c>
      <c r="E1412" s="10" t="str">
        <f>HYPERLINK("https://twitter.com/maya5710/status/1070344478517542912","1070344478517542912")</f>
        <v>1070344478517542912</v>
      </c>
      <c r="F1412" s="16" t="s">
        <v>4314</v>
      </c>
      <c r="G1412" s="11"/>
      <c r="H1412" s="11"/>
      <c r="I1412" s="12">
        <v>0</v>
      </c>
      <c r="J1412" s="12">
        <v>0</v>
      </c>
      <c r="K1412" s="13" t="str">
        <f t="shared" si="322"/>
        <v>Twitter for Android</v>
      </c>
      <c r="L1412" s="12">
        <v>31</v>
      </c>
      <c r="M1412" s="12">
        <v>70</v>
      </c>
      <c r="N1412" s="12">
        <v>0</v>
      </c>
      <c r="O1412" s="14"/>
      <c r="P1412" s="6">
        <v>42345.894120370373</v>
      </c>
      <c r="Q1412" s="11"/>
      <c r="R1412" s="18"/>
      <c r="S1412" s="11"/>
      <c r="T1412" s="11"/>
      <c r="U1412" s="23" t="s">
        <v>437</v>
      </c>
    </row>
    <row r="1413" spans="1:21" ht="40.799999999999997">
      <c r="A1413" s="6">
        <v>43439.700543981482</v>
      </c>
      <c r="B1413" s="7" t="str">
        <f>HYPERLINK("https://twitter.com/LfilodelabrechA","@LfilodelabrechA")</f>
        <v>@LfilodelabrechA</v>
      </c>
      <c r="C1413" s="8" t="s">
        <v>714</v>
      </c>
      <c r="D1413" s="9" t="s">
        <v>5083</v>
      </c>
      <c r="E1413" s="10" t="str">
        <f>HYPERLINK("https://twitter.com/LfilodelabrechA/status/1070344238435569664","1070344238435569664")</f>
        <v>1070344238435569664</v>
      </c>
      <c r="F1413" s="11"/>
      <c r="G1413" s="11"/>
      <c r="H1413" s="11"/>
      <c r="I1413" s="12">
        <v>4</v>
      </c>
      <c r="J1413" s="12">
        <v>7</v>
      </c>
      <c r="K1413" s="13" t="str">
        <f>HYPERLINK("http://twitter.com","Twitter Web Client")</f>
        <v>Twitter Web Client</v>
      </c>
      <c r="L1413" s="12">
        <v>21395</v>
      </c>
      <c r="M1413" s="12">
        <v>16322</v>
      </c>
      <c r="N1413" s="12">
        <v>155</v>
      </c>
      <c r="O1413" s="14"/>
      <c r="P1413" s="6">
        <v>41995.189953703702</v>
      </c>
      <c r="Q1413" s="15" t="s">
        <v>717</v>
      </c>
      <c r="R1413" s="17" t="s">
        <v>718</v>
      </c>
      <c r="S1413" s="16" t="s">
        <v>719</v>
      </c>
      <c r="T1413" s="11"/>
      <c r="U1413" s="10" t="str">
        <f>HYPERLINK("https://pbs.twimg.com/profile_images/1015231495512915968/1SaMhOsw.jpg","View")</f>
        <v>View</v>
      </c>
    </row>
    <row r="1414" spans="1:21" ht="30.6">
      <c r="A1414" s="6">
        <v>43439.699942129635</v>
      </c>
      <c r="B1414" s="7" t="str">
        <f>HYPERLINK("https://twitter.com/VictorD91","@VictorD91")</f>
        <v>@VictorD91</v>
      </c>
      <c r="C1414" s="8" t="s">
        <v>5084</v>
      </c>
      <c r="D1414" s="9" t="s">
        <v>5085</v>
      </c>
      <c r="E1414" s="10" t="str">
        <f>HYPERLINK("https://twitter.com/VictorD91/status/1070344022663806977","1070344022663806977")</f>
        <v>1070344022663806977</v>
      </c>
      <c r="F1414" s="16" t="s">
        <v>4914</v>
      </c>
      <c r="G1414" s="11"/>
      <c r="H1414" s="11"/>
      <c r="I1414" s="12">
        <v>0</v>
      </c>
      <c r="J1414" s="12">
        <v>0</v>
      </c>
      <c r="K1414" s="13" t="str">
        <f>HYPERLINK("http://twitter.com/download/android","Twitter for Android")</f>
        <v>Twitter for Android</v>
      </c>
      <c r="L1414" s="12">
        <v>575</v>
      </c>
      <c r="M1414" s="12">
        <v>922</v>
      </c>
      <c r="N1414" s="12">
        <v>9</v>
      </c>
      <c r="O1414" s="14"/>
      <c r="P1414" s="6">
        <v>40680.427141203705</v>
      </c>
      <c r="Q1414" s="11"/>
      <c r="R1414" s="17" t="s">
        <v>5086</v>
      </c>
      <c r="S1414" s="11"/>
      <c r="T1414" s="11"/>
      <c r="U1414" s="10" t="str">
        <f>HYPERLINK("https://pbs.twimg.com/profile_images/1038208245112950784/Er1yFJ6m.jpg","View")</f>
        <v>View</v>
      </c>
    </row>
    <row r="1415" spans="1:21" ht="20.399999999999999">
      <c r="A1415" s="6">
        <v>43439.699479166666</v>
      </c>
      <c r="B1415" s="7" t="str">
        <f>HYPERLINK("https://twitter.com/LAREVUELO53","@LAREVUELO53")</f>
        <v>@LAREVUELO53</v>
      </c>
      <c r="C1415" s="8" t="s">
        <v>1426</v>
      </c>
      <c r="D1415" s="9" t="s">
        <v>5087</v>
      </c>
      <c r="E1415" s="10" t="str">
        <f>HYPERLINK("https://twitter.com/LAREVUELO53/status/1070343854711291905","1070343854711291905")</f>
        <v>1070343854711291905</v>
      </c>
      <c r="F1415" s="16" t="s">
        <v>2178</v>
      </c>
      <c r="G1415" s="11"/>
      <c r="H1415" s="11"/>
      <c r="I1415" s="12">
        <v>1</v>
      </c>
      <c r="J1415" s="12">
        <v>1</v>
      </c>
      <c r="K1415" s="13" t="str">
        <f>HYPERLINK("http://twitter.com","Twitter Web Client")</f>
        <v>Twitter Web Client</v>
      </c>
      <c r="L1415" s="12">
        <v>415</v>
      </c>
      <c r="M1415" s="12">
        <v>1519</v>
      </c>
      <c r="N1415" s="12">
        <v>4</v>
      </c>
      <c r="O1415" s="14"/>
      <c r="P1415" s="6">
        <v>40681.9059375</v>
      </c>
      <c r="Q1415" s="15" t="s">
        <v>1429</v>
      </c>
      <c r="R1415" s="18"/>
      <c r="S1415" s="16" t="s">
        <v>1430</v>
      </c>
      <c r="T1415" s="11"/>
      <c r="U1415" s="10" t="str">
        <f>HYPERLINK("https://pbs.twimg.com/profile_images/719705597436960769/UB_JVe0J.jpg","View")</f>
        <v>View</v>
      </c>
    </row>
    <row r="1416" spans="1:21" ht="20.399999999999999">
      <c r="A1416" s="6">
        <v>43439.699270833335</v>
      </c>
      <c r="B1416" s="7" t="str">
        <f>HYPERLINK("https://twitter.com/Mariskal_","@Mariskal_")</f>
        <v>@Mariskal_</v>
      </c>
      <c r="C1416" s="8" t="s">
        <v>5088</v>
      </c>
      <c r="D1416" s="9" t="s">
        <v>5089</v>
      </c>
      <c r="E1416" s="10" t="str">
        <f>HYPERLINK("https://twitter.com/Mariskal_/status/1070343779138314240","1070343779138314240")</f>
        <v>1070343779138314240</v>
      </c>
      <c r="F1416" s="11"/>
      <c r="G1416" s="16" t="s">
        <v>5090</v>
      </c>
      <c r="H1416" s="11"/>
      <c r="I1416" s="12">
        <v>3</v>
      </c>
      <c r="J1416" s="12">
        <v>3</v>
      </c>
      <c r="K1416" s="13" t="str">
        <f>HYPERLINK("http://twitter.com/download/android","Twitter for Android")</f>
        <v>Twitter for Android</v>
      </c>
      <c r="L1416" s="12">
        <v>26</v>
      </c>
      <c r="M1416" s="12">
        <v>42</v>
      </c>
      <c r="N1416" s="12">
        <v>0</v>
      </c>
      <c r="O1416" s="14"/>
      <c r="P1416" s="6">
        <v>43410.561192129629</v>
      </c>
      <c r="Q1416" s="15" t="s">
        <v>5091</v>
      </c>
      <c r="R1416" s="17" t="s">
        <v>5092</v>
      </c>
      <c r="S1416" s="11"/>
      <c r="T1416" s="11"/>
      <c r="U1416" s="10" t="str">
        <f>HYPERLINK("https://pbs.twimg.com/profile_images/1059785668900122629/4dbNECWh.jpg","View")</f>
        <v>View</v>
      </c>
    </row>
    <row r="1417" spans="1:21" ht="40.799999999999997">
      <c r="A1417" s="6">
        <v>43439.699097222227</v>
      </c>
      <c r="B1417" s="7" t="str">
        <f>HYPERLINK("https://twitter.com/vox_es","@vox_es")</f>
        <v>@vox_es</v>
      </c>
      <c r="C1417" s="8" t="s">
        <v>3230</v>
      </c>
      <c r="D1417" s="9" t="s">
        <v>5093</v>
      </c>
      <c r="E1417" s="10" t="str">
        <f>HYPERLINK("https://twitter.com/vox_es/status/1070343716798414849","1070343716798414849")</f>
        <v>1070343716798414849</v>
      </c>
      <c r="F1417" s="16" t="s">
        <v>4965</v>
      </c>
      <c r="G1417" s="11"/>
      <c r="H1417" s="11"/>
      <c r="I1417" s="12">
        <v>219</v>
      </c>
      <c r="J1417" s="12">
        <v>462</v>
      </c>
      <c r="K1417" s="13" t="str">
        <f>HYPERLINK("http://twitter.com","Twitter Web Client")</f>
        <v>Twitter Web Client</v>
      </c>
      <c r="L1417" s="12">
        <v>147920</v>
      </c>
      <c r="M1417" s="12">
        <v>937</v>
      </c>
      <c r="N1417" s="12">
        <v>988</v>
      </c>
      <c r="O1417" s="23" t="s">
        <v>89</v>
      </c>
      <c r="P1417" s="6">
        <v>41596.746655092589</v>
      </c>
      <c r="Q1417" s="11"/>
      <c r="R1417" s="17" t="s">
        <v>3232</v>
      </c>
      <c r="S1417" s="16" t="s">
        <v>1740</v>
      </c>
      <c r="T1417" s="11"/>
      <c r="U1417" s="10" t="str">
        <f>HYPERLINK("https://pbs.twimg.com/profile_images/1016653788617363456/m3b3jqW5.jpg","View")</f>
        <v>View</v>
      </c>
    </row>
    <row r="1418" spans="1:21" ht="51">
      <c r="A1418" s="6">
        <v>43439.697442129633</v>
      </c>
      <c r="B1418" s="7" t="str">
        <f t="shared" ref="B1418:B1419" si="323">HYPERLINK("https://twitter.com/Jolu1970Jose","@Jolu1970Jose")</f>
        <v>@Jolu1970Jose</v>
      </c>
      <c r="C1418" s="8" t="s">
        <v>967</v>
      </c>
      <c r="D1418" s="9" t="s">
        <v>5094</v>
      </c>
      <c r="E1418" s="10" t="str">
        <f>HYPERLINK("https://twitter.com/Jolu1970Jose/status/1070343116505432064","1070343116505432064")</f>
        <v>1070343116505432064</v>
      </c>
      <c r="F1418" s="16" t="s">
        <v>2006</v>
      </c>
      <c r="G1418" s="11"/>
      <c r="H1418" s="11"/>
      <c r="I1418" s="12">
        <v>0</v>
      </c>
      <c r="J1418" s="12">
        <v>1</v>
      </c>
      <c r="K1418" s="13" t="str">
        <f t="shared" ref="K1418:K1420" si="324">HYPERLINK("http://twitter.com/download/android","Twitter for Android")</f>
        <v>Twitter for Android</v>
      </c>
      <c r="L1418" s="12">
        <v>2418</v>
      </c>
      <c r="M1418" s="12">
        <v>2578</v>
      </c>
      <c r="N1418" s="12">
        <v>22</v>
      </c>
      <c r="O1418" s="14"/>
      <c r="P1418" s="6">
        <v>40681.964178240742</v>
      </c>
      <c r="Q1418" s="11"/>
      <c r="R1418" s="17" t="s">
        <v>970</v>
      </c>
      <c r="S1418" s="11"/>
      <c r="T1418" s="11"/>
      <c r="U1418" s="10" t="str">
        <f t="shared" ref="U1418:U1419" si="325">HYPERLINK("https://pbs.twimg.com/profile_images/997194518444175360/dnaJJ08L.jpg","View")</f>
        <v>View</v>
      </c>
    </row>
    <row r="1419" spans="1:21" ht="51">
      <c r="A1419" s="6">
        <v>43439.695347222223</v>
      </c>
      <c r="B1419" s="7" t="str">
        <f t="shared" si="323"/>
        <v>@Jolu1970Jose</v>
      </c>
      <c r="C1419" s="8" t="s">
        <v>967</v>
      </c>
      <c r="D1419" s="9" t="s">
        <v>5095</v>
      </c>
      <c r="E1419" s="10" t="str">
        <f>HYPERLINK("https://twitter.com/Jolu1970Jose/status/1070342354849161216","1070342354849161216")</f>
        <v>1070342354849161216</v>
      </c>
      <c r="F1419" s="16" t="s">
        <v>482</v>
      </c>
      <c r="G1419" s="11"/>
      <c r="H1419" s="11"/>
      <c r="I1419" s="12">
        <v>0</v>
      </c>
      <c r="J1419" s="12">
        <v>0</v>
      </c>
      <c r="K1419" s="13" t="str">
        <f t="shared" si="324"/>
        <v>Twitter for Android</v>
      </c>
      <c r="L1419" s="12">
        <v>2418</v>
      </c>
      <c r="M1419" s="12">
        <v>2578</v>
      </c>
      <c r="N1419" s="12">
        <v>22</v>
      </c>
      <c r="O1419" s="14"/>
      <c r="P1419" s="6">
        <v>40681.964178240742</v>
      </c>
      <c r="Q1419" s="11"/>
      <c r="R1419" s="17" t="s">
        <v>970</v>
      </c>
      <c r="S1419" s="11"/>
      <c r="T1419" s="11"/>
      <c r="U1419" s="10" t="str">
        <f t="shared" si="325"/>
        <v>View</v>
      </c>
    </row>
    <row r="1420" spans="1:21" ht="71.400000000000006">
      <c r="A1420" s="6">
        <v>43439.694976851853</v>
      </c>
      <c r="B1420" s="7" t="str">
        <f>HYPERLINK("https://twitter.com/RedyThorez","@RedyThorez")</f>
        <v>@RedyThorez</v>
      </c>
      <c r="C1420" s="8" t="s">
        <v>5096</v>
      </c>
      <c r="D1420" s="9" t="s">
        <v>5097</v>
      </c>
      <c r="E1420" s="10" t="str">
        <f>HYPERLINK("https://twitter.com/RedyThorez/status/1070342222372048899","1070342222372048899")</f>
        <v>1070342222372048899</v>
      </c>
      <c r="F1420" s="16" t="s">
        <v>5098</v>
      </c>
      <c r="G1420" s="16" t="s">
        <v>5099</v>
      </c>
      <c r="H1420" s="11"/>
      <c r="I1420" s="12">
        <v>0</v>
      </c>
      <c r="J1420" s="12">
        <v>0</v>
      </c>
      <c r="K1420" s="13" t="str">
        <f t="shared" si="324"/>
        <v>Twitter for Android</v>
      </c>
      <c r="L1420" s="12">
        <v>190</v>
      </c>
      <c r="M1420" s="12">
        <v>226</v>
      </c>
      <c r="N1420" s="12">
        <v>2</v>
      </c>
      <c r="O1420" s="14"/>
      <c r="P1420" s="6">
        <v>41297.853807870371</v>
      </c>
      <c r="Q1420" s="15" t="s">
        <v>5100</v>
      </c>
      <c r="R1420" s="17" t="s">
        <v>5101</v>
      </c>
      <c r="S1420" s="16" t="s">
        <v>5102</v>
      </c>
      <c r="T1420" s="11"/>
      <c r="U1420" s="10" t="str">
        <f>HYPERLINK("https://pbs.twimg.com/profile_images/1061654843843055616/GhJcxp9m.jpg","View")</f>
        <v>View</v>
      </c>
    </row>
    <row r="1421" spans="1:21" ht="30.6">
      <c r="A1421" s="6">
        <v>43439.694699074069</v>
      </c>
      <c r="B1421" s="7" t="str">
        <f>HYPERLINK("https://twitter.com/Miguelymosa1","@Miguelymosa1")</f>
        <v>@Miguelymosa1</v>
      </c>
      <c r="C1421" s="8" t="s">
        <v>1543</v>
      </c>
      <c r="D1421" s="9" t="s">
        <v>5103</v>
      </c>
      <c r="E1421" s="10" t="str">
        <f>HYPERLINK("https://twitter.com/Miguelymosa1/status/1070342121750753280","1070342121750753280")</f>
        <v>1070342121750753280</v>
      </c>
      <c r="F1421" s="11"/>
      <c r="G1421" s="16" t="s">
        <v>5104</v>
      </c>
      <c r="H1421" s="11"/>
      <c r="I1421" s="12">
        <v>0</v>
      </c>
      <c r="J1421" s="12">
        <v>1</v>
      </c>
      <c r="K1421" s="13" t="str">
        <f>HYPERLINK("http://twitter.com","Twitter Web Client")</f>
        <v>Twitter Web Client</v>
      </c>
      <c r="L1421" s="12">
        <v>16</v>
      </c>
      <c r="M1421" s="12">
        <v>304</v>
      </c>
      <c r="N1421" s="12">
        <v>0</v>
      </c>
      <c r="O1421" s="14"/>
      <c r="P1421" s="6">
        <v>43291.79586805556</v>
      </c>
      <c r="Q1421" s="15" t="s">
        <v>1546</v>
      </c>
      <c r="R1421" s="17" t="s">
        <v>5105</v>
      </c>
      <c r="S1421" s="11"/>
      <c r="T1421" s="11"/>
      <c r="U1421" s="10" t="str">
        <f>HYPERLINK("https://pbs.twimg.com/profile_images/1062249777285554176/TSM-4nyL.jpg","View")</f>
        <v>View</v>
      </c>
    </row>
    <row r="1422" spans="1:21" ht="61.2">
      <c r="A1422" s="6">
        <v>43439.694606481484</v>
      </c>
      <c r="B1422" s="7" t="str">
        <f>HYPERLINK("https://twitter.com/dani75piscis","@dani75piscis")</f>
        <v>@dani75piscis</v>
      </c>
      <c r="C1422" s="8" t="s">
        <v>5106</v>
      </c>
      <c r="D1422" s="9" t="s">
        <v>5107</v>
      </c>
      <c r="E1422" s="10" t="str">
        <f>HYPERLINK("https://twitter.com/dani75piscis/status/1070342087932026880","1070342087932026880")</f>
        <v>1070342087932026880</v>
      </c>
      <c r="F1422" s="16" t="s">
        <v>5108</v>
      </c>
      <c r="G1422" s="16" t="s">
        <v>5109</v>
      </c>
      <c r="H1422" s="11"/>
      <c r="I1422" s="12">
        <v>1</v>
      </c>
      <c r="J1422" s="12">
        <v>1</v>
      </c>
      <c r="K1422" s="13" t="str">
        <f t="shared" ref="K1422:K1424" si="326">HYPERLINK("http://twitter.com/download/android","Twitter for Android")</f>
        <v>Twitter for Android</v>
      </c>
      <c r="L1422" s="12">
        <v>1186</v>
      </c>
      <c r="M1422" s="12">
        <v>666</v>
      </c>
      <c r="N1422" s="12">
        <v>7</v>
      </c>
      <c r="O1422" s="14"/>
      <c r="P1422" s="6">
        <v>41118.559930555552</v>
      </c>
      <c r="Q1422" s="11"/>
      <c r="R1422" s="17" t="s">
        <v>5110</v>
      </c>
      <c r="S1422" s="11"/>
      <c r="T1422" s="11"/>
      <c r="U1422" s="10" t="str">
        <f>HYPERLINK("https://pbs.twimg.com/profile_images/982973906674966528/hXEUcOTV.jpg","View")</f>
        <v>View</v>
      </c>
    </row>
    <row r="1423" spans="1:21" ht="51">
      <c r="A1423" s="6">
        <v>43439.693043981482</v>
      </c>
      <c r="B1423" s="7" t="str">
        <f>HYPERLINK("https://twitter.com/Ronson621570","@Ronson621570")</f>
        <v>@Ronson621570</v>
      </c>
      <c r="C1423" s="8" t="s">
        <v>5111</v>
      </c>
      <c r="D1423" s="9" t="s">
        <v>5112</v>
      </c>
      <c r="E1423" s="10" t="str">
        <f>HYPERLINK("https://twitter.com/Ronson621570/status/1070341520707018752","1070341520707018752")</f>
        <v>1070341520707018752</v>
      </c>
      <c r="F1423" s="16" t="s">
        <v>2006</v>
      </c>
      <c r="G1423" s="11"/>
      <c r="H1423" s="11"/>
      <c r="I1423" s="12">
        <v>0</v>
      </c>
      <c r="J1423" s="12">
        <v>0</v>
      </c>
      <c r="K1423" s="13" t="str">
        <f t="shared" si="326"/>
        <v>Twitter for Android</v>
      </c>
      <c r="L1423" s="12">
        <v>172</v>
      </c>
      <c r="M1423" s="12">
        <v>220</v>
      </c>
      <c r="N1423" s="12">
        <v>0</v>
      </c>
      <c r="O1423" s="14"/>
      <c r="P1423" s="6">
        <v>43308.980208333334</v>
      </c>
      <c r="Q1423" s="11"/>
      <c r="R1423" s="18"/>
      <c r="S1423" s="11"/>
      <c r="T1423" s="11"/>
      <c r="U1423" s="10" t="str">
        <f>HYPERLINK("https://pbs.twimg.com/profile_images/1064647185755713537/nbQX9blC.jpg","View")</f>
        <v>View</v>
      </c>
    </row>
    <row r="1424" spans="1:21" ht="51">
      <c r="A1424" s="6">
        <v>43439.692604166667</v>
      </c>
      <c r="B1424" s="7" t="str">
        <f>HYPERLINK("https://twitter.com/pacoestopa","@pacoestopa")</f>
        <v>@pacoestopa</v>
      </c>
      <c r="C1424" s="8" t="s">
        <v>5113</v>
      </c>
      <c r="D1424" s="9" t="s">
        <v>5114</v>
      </c>
      <c r="E1424" s="10" t="str">
        <f>HYPERLINK("https://twitter.com/pacoestopa/status/1070341361616982016","1070341361616982016")</f>
        <v>1070341361616982016</v>
      </c>
      <c r="F1424" s="11"/>
      <c r="G1424" s="11"/>
      <c r="H1424" s="11"/>
      <c r="I1424" s="12">
        <v>0</v>
      </c>
      <c r="J1424" s="12">
        <v>0</v>
      </c>
      <c r="K1424" s="13" t="str">
        <f t="shared" si="326"/>
        <v>Twitter for Android</v>
      </c>
      <c r="L1424" s="12">
        <v>382</v>
      </c>
      <c r="M1424" s="12">
        <v>1070</v>
      </c>
      <c r="N1424" s="12">
        <v>1</v>
      </c>
      <c r="O1424" s="14"/>
      <c r="P1424" s="6">
        <v>40196.861238425925</v>
      </c>
      <c r="Q1424" s="15" t="s">
        <v>612</v>
      </c>
      <c r="R1424" s="17" t="s">
        <v>5115</v>
      </c>
      <c r="S1424" s="11"/>
      <c r="T1424" s="11"/>
      <c r="U1424" s="10" t="str">
        <f>HYPERLINK("https://pbs.twimg.com/profile_images/973259149743132672/pK9ITgt4.jpg","View")</f>
        <v>View</v>
      </c>
    </row>
    <row r="1425" spans="1:21" ht="40.799999999999997">
      <c r="A1425" s="6">
        <v>43439.692395833335</v>
      </c>
      <c r="B1425" s="7" t="str">
        <f>HYPERLINK("https://twitter.com/GuerrillaJunior","@GuerrillaJunior")</f>
        <v>@GuerrillaJunior</v>
      </c>
      <c r="C1425" s="8" t="s">
        <v>5116</v>
      </c>
      <c r="D1425" s="9" t="s">
        <v>5117</v>
      </c>
      <c r="E1425" s="10" t="str">
        <f>HYPERLINK("https://twitter.com/GuerrillaJunior/status/1070341287285538817","1070341287285538817")</f>
        <v>1070341287285538817</v>
      </c>
      <c r="F1425" s="11"/>
      <c r="G1425" s="11"/>
      <c r="H1425" s="11"/>
      <c r="I1425" s="12">
        <v>8</v>
      </c>
      <c r="J1425" s="12">
        <v>16</v>
      </c>
      <c r="K1425" s="13" t="str">
        <f t="shared" ref="K1425:K1426" si="327">HYPERLINK("http://twitter.com","Twitter Web Client")</f>
        <v>Twitter Web Client</v>
      </c>
      <c r="L1425" s="12">
        <v>863</v>
      </c>
      <c r="M1425" s="12">
        <v>787</v>
      </c>
      <c r="N1425" s="12">
        <v>10</v>
      </c>
      <c r="O1425" s="14"/>
      <c r="P1425" s="6">
        <v>42311.973912037036</v>
      </c>
      <c r="Q1425" s="15" t="s">
        <v>612</v>
      </c>
      <c r="R1425" s="17" t="s">
        <v>5118</v>
      </c>
      <c r="S1425" s="16" t="s">
        <v>5119</v>
      </c>
      <c r="T1425" s="11"/>
      <c r="U1425" s="10" t="str">
        <f>HYPERLINK("https://pbs.twimg.com/profile_images/871066168563556352/irTgTjRy.jpg","View")</f>
        <v>View</v>
      </c>
    </row>
    <row r="1426" spans="1:21" ht="30.6">
      <c r="A1426" s="6">
        <v>43439.691828703704</v>
      </c>
      <c r="B1426" s="7" t="str">
        <f>HYPERLINK("https://twitter.com/DiarioSUR","@DiarioSUR")</f>
        <v>@DiarioSUR</v>
      </c>
      <c r="C1426" s="8" t="s">
        <v>2942</v>
      </c>
      <c r="D1426" s="9" t="s">
        <v>5120</v>
      </c>
      <c r="E1426" s="10" t="str">
        <f>HYPERLINK("https://twitter.com/DiarioSUR/status/1070341080888078338","1070341080888078338")</f>
        <v>1070341080888078338</v>
      </c>
      <c r="F1426" s="16" t="s">
        <v>5121</v>
      </c>
      <c r="G1426" s="11"/>
      <c r="H1426" s="11"/>
      <c r="I1426" s="12">
        <v>49</v>
      </c>
      <c r="J1426" s="12">
        <v>34</v>
      </c>
      <c r="K1426" s="13" t="str">
        <f t="shared" si="327"/>
        <v>Twitter Web Client</v>
      </c>
      <c r="L1426" s="12">
        <v>252146</v>
      </c>
      <c r="M1426" s="12">
        <v>6689</v>
      </c>
      <c r="N1426" s="12">
        <v>2054</v>
      </c>
      <c r="O1426" s="23" t="s">
        <v>89</v>
      </c>
      <c r="P1426" s="6">
        <v>39853.755590277782</v>
      </c>
      <c r="Q1426" s="15" t="s">
        <v>1359</v>
      </c>
      <c r="R1426" s="17" t="s">
        <v>2945</v>
      </c>
      <c r="S1426" s="16" t="s">
        <v>2946</v>
      </c>
      <c r="T1426" s="11"/>
      <c r="U1426" s="10" t="str">
        <f>HYPERLINK("https://pbs.twimg.com/profile_images/1066856110760648704/bTjnkmUL.jpg","View")</f>
        <v>View</v>
      </c>
    </row>
    <row r="1427" spans="1:21" ht="51">
      <c r="A1427" s="6">
        <v>43439.691400462965</v>
      </c>
      <c r="B1427" s="7" t="str">
        <f>HYPERLINK("https://twitter.com/elhombrecillov","@elhombrecillov")</f>
        <v>@elhombrecillov</v>
      </c>
      <c r="C1427" s="8" t="s">
        <v>5122</v>
      </c>
      <c r="D1427" s="9" t="s">
        <v>5123</v>
      </c>
      <c r="E1427" s="10" t="str">
        <f>HYPERLINK("https://twitter.com/elhombrecillov/status/1070340924658597888","1070340924658597888")</f>
        <v>1070340924658597888</v>
      </c>
      <c r="F1427" s="11"/>
      <c r="G1427" s="11"/>
      <c r="H1427" s="11"/>
      <c r="I1427" s="12">
        <v>15</v>
      </c>
      <c r="J1427" s="12">
        <v>29</v>
      </c>
      <c r="K1427" s="13" t="str">
        <f>HYPERLINK("https://mobile.twitter.com","Twitter Lite")</f>
        <v>Twitter Lite</v>
      </c>
      <c r="L1427" s="12">
        <v>162</v>
      </c>
      <c r="M1427" s="12">
        <v>292</v>
      </c>
      <c r="N1427" s="12">
        <v>0</v>
      </c>
      <c r="O1427" s="14"/>
      <c r="P1427" s="6">
        <v>43391.534212962964</v>
      </c>
      <c r="Q1427" s="15" t="s">
        <v>5124</v>
      </c>
      <c r="R1427" s="17" t="s">
        <v>5125</v>
      </c>
      <c r="S1427" s="11"/>
      <c r="T1427" s="11"/>
      <c r="U1427" s="10" t="str">
        <f>HYPERLINK("https://pbs.twimg.com/profile_images/1052875022207995904/_2mtGK_A.jpg","View")</f>
        <v>View</v>
      </c>
    </row>
    <row r="1428" spans="1:21" ht="51">
      <c r="A1428" s="6">
        <v>43439.690601851849</v>
      </c>
      <c r="B1428" s="7" t="str">
        <f>HYPERLINK("https://twitter.com/Jolu1970Jose","@Jolu1970Jose")</f>
        <v>@Jolu1970Jose</v>
      </c>
      <c r="C1428" s="8" t="s">
        <v>967</v>
      </c>
      <c r="D1428" s="9" t="s">
        <v>5126</v>
      </c>
      <c r="E1428" s="10" t="str">
        <f>HYPERLINK("https://twitter.com/Jolu1970Jose/status/1070340638808399872","1070340638808399872")</f>
        <v>1070340638808399872</v>
      </c>
      <c r="F1428" s="16" t="s">
        <v>5127</v>
      </c>
      <c r="G1428" s="11"/>
      <c r="H1428" s="11"/>
      <c r="I1428" s="12">
        <v>1</v>
      </c>
      <c r="J1428" s="12">
        <v>0</v>
      </c>
      <c r="K1428" s="13" t="str">
        <f t="shared" ref="K1428:K1429" si="328">HYPERLINK("http://twitter.com/download/android","Twitter for Android")</f>
        <v>Twitter for Android</v>
      </c>
      <c r="L1428" s="12">
        <v>2418</v>
      </c>
      <c r="M1428" s="12">
        <v>2578</v>
      </c>
      <c r="N1428" s="12">
        <v>22</v>
      </c>
      <c r="O1428" s="14"/>
      <c r="P1428" s="6">
        <v>40681.964178240742</v>
      </c>
      <c r="Q1428" s="11"/>
      <c r="R1428" s="17" t="s">
        <v>970</v>
      </c>
      <c r="S1428" s="11"/>
      <c r="T1428" s="11"/>
      <c r="U1428" s="10" t="str">
        <f>HYPERLINK("https://pbs.twimg.com/profile_images/997194518444175360/dnaJJ08L.jpg","View")</f>
        <v>View</v>
      </c>
    </row>
    <row r="1429" spans="1:21" ht="40.799999999999997">
      <c r="A1429" s="6">
        <v>43439.689895833333</v>
      </c>
      <c r="B1429" s="7" t="str">
        <f>HYPERLINK("https://twitter.com/EmilocgFoto","@EmilocgFoto")</f>
        <v>@EmilocgFoto</v>
      </c>
      <c r="C1429" s="8" t="s">
        <v>5128</v>
      </c>
      <c r="D1429" s="9" t="s">
        <v>5129</v>
      </c>
      <c r="E1429" s="10" t="str">
        <f>HYPERLINK("https://twitter.com/EmilocgFoto/status/1070340379222921217","1070340379222921217")</f>
        <v>1070340379222921217</v>
      </c>
      <c r="F1429" s="15" t="s">
        <v>4829</v>
      </c>
      <c r="G1429" s="16" t="s">
        <v>4830</v>
      </c>
      <c r="H1429" s="11"/>
      <c r="I1429" s="12">
        <v>0</v>
      </c>
      <c r="J1429" s="12">
        <v>1</v>
      </c>
      <c r="K1429" s="13" t="str">
        <f t="shared" si="328"/>
        <v>Twitter for Android</v>
      </c>
      <c r="L1429" s="12">
        <v>365</v>
      </c>
      <c r="M1429" s="12">
        <v>1672</v>
      </c>
      <c r="N1429" s="12">
        <v>0</v>
      </c>
      <c r="O1429" s="14"/>
      <c r="P1429" s="6">
        <v>40669.933993055558</v>
      </c>
      <c r="Q1429" s="15" t="s">
        <v>5130</v>
      </c>
      <c r="R1429" s="17" t="s">
        <v>5131</v>
      </c>
      <c r="S1429" s="11"/>
      <c r="T1429" s="11"/>
      <c r="U1429" s="10" t="str">
        <f>HYPERLINK("https://pbs.twimg.com/profile_images/685212844489588736/2GMgwuxl.jpg","View")</f>
        <v>View</v>
      </c>
    </row>
    <row r="1430" spans="1:21" ht="20.399999999999999">
      <c r="A1430" s="6">
        <v>43439.688680555555</v>
      </c>
      <c r="B1430" s="7" t="str">
        <f>HYPERLINK("https://twitter.com/AlfonsoRojoPD","@AlfonsoRojoPD")</f>
        <v>@AlfonsoRojoPD</v>
      </c>
      <c r="C1430" s="8" t="s">
        <v>1564</v>
      </c>
      <c r="D1430" s="9" t="s">
        <v>4884</v>
      </c>
      <c r="E1430" s="10" t="str">
        <f>HYPERLINK("https://twitter.com/AlfonsoRojoPD/status/1070339939156549634","1070339939156549634")</f>
        <v>1070339939156549634</v>
      </c>
      <c r="F1430" s="16" t="s">
        <v>3750</v>
      </c>
      <c r="G1430" s="11"/>
      <c r="H1430" s="11"/>
      <c r="I1430" s="12">
        <v>9</v>
      </c>
      <c r="J1430" s="12">
        <v>19</v>
      </c>
      <c r="K1430" s="13" t="str">
        <f>HYPERLINK("http://twitter.com","Twitter Web Client")</f>
        <v>Twitter Web Client</v>
      </c>
      <c r="L1430" s="12">
        <v>49129</v>
      </c>
      <c r="M1430" s="12">
        <v>0</v>
      </c>
      <c r="N1430" s="12">
        <v>677</v>
      </c>
      <c r="O1430" s="23" t="s">
        <v>89</v>
      </c>
      <c r="P1430" s="6">
        <v>41704.447048611109</v>
      </c>
      <c r="Q1430" s="15" t="s">
        <v>612</v>
      </c>
      <c r="R1430" s="17" t="s">
        <v>1565</v>
      </c>
      <c r="S1430" s="16" t="s">
        <v>1184</v>
      </c>
      <c r="T1430" s="11"/>
      <c r="U1430" s="10" t="str">
        <f>HYPERLINK("https://pbs.twimg.com/profile_images/441511791210663936/QbI_6aXh.jpeg","View")</f>
        <v>View</v>
      </c>
    </row>
    <row r="1431" spans="1:21" ht="30.6">
      <c r="A1431" s="6">
        <v>43439.687824074077</v>
      </c>
      <c r="B1431" s="7" t="str">
        <f>HYPERLINK("https://twitter.com/fegabriel7","@fegabriel7")</f>
        <v>@fegabriel7</v>
      </c>
      <c r="C1431" s="8" t="s">
        <v>5132</v>
      </c>
      <c r="D1431" s="9" t="s">
        <v>5133</v>
      </c>
      <c r="E1431" s="10" t="str">
        <f>HYPERLINK("https://twitter.com/fegabriel7/status/1070339631147831307","1070339631147831307")</f>
        <v>1070339631147831307</v>
      </c>
      <c r="F1431" s="16" t="s">
        <v>4914</v>
      </c>
      <c r="G1431" s="11"/>
      <c r="H1431" s="11"/>
      <c r="I1431" s="12">
        <v>0</v>
      </c>
      <c r="J1431" s="12">
        <v>0</v>
      </c>
      <c r="K1431" s="13" t="str">
        <f t="shared" ref="K1431:K1434" si="329">HYPERLINK("http://twitter.com/download/android","Twitter for Android")</f>
        <v>Twitter for Android</v>
      </c>
      <c r="L1431" s="12">
        <v>326</v>
      </c>
      <c r="M1431" s="12">
        <v>903</v>
      </c>
      <c r="N1431" s="12">
        <v>2</v>
      </c>
      <c r="O1431" s="14"/>
      <c r="P1431" s="6">
        <v>43383.605624999997</v>
      </c>
      <c r="Q1431" s="15" t="s">
        <v>580</v>
      </c>
      <c r="R1431" s="17" t="s">
        <v>5134</v>
      </c>
      <c r="S1431" s="11"/>
      <c r="T1431" s="11"/>
      <c r="U1431" s="10" t="str">
        <f>HYPERLINK("https://pbs.twimg.com/profile_images/1064476471283118080/I9dl5gwQ.jpg","View")</f>
        <v>View</v>
      </c>
    </row>
    <row r="1432" spans="1:21" ht="51">
      <c r="A1432" s="6">
        <v>43439.68649305556</v>
      </c>
      <c r="B1432" s="7" t="str">
        <f>HYPERLINK("https://twitter.com/voxnoticias_es","@voxnoticias_es")</f>
        <v>@voxnoticias_es</v>
      </c>
      <c r="C1432" s="8" t="s">
        <v>4522</v>
      </c>
      <c r="D1432" s="9" t="s">
        <v>5135</v>
      </c>
      <c r="E1432" s="10" t="str">
        <f>HYPERLINK("https://twitter.com/voxnoticias_es/status/1070339148702199808","1070339148702199808")</f>
        <v>1070339148702199808</v>
      </c>
      <c r="F1432" s="11"/>
      <c r="G1432" s="16" t="s">
        <v>5136</v>
      </c>
      <c r="H1432" s="11"/>
      <c r="I1432" s="12">
        <v>122</v>
      </c>
      <c r="J1432" s="12">
        <v>183</v>
      </c>
      <c r="K1432" s="13" t="str">
        <f t="shared" si="329"/>
        <v>Twitter for Android</v>
      </c>
      <c r="L1432" s="12">
        <v>21631</v>
      </c>
      <c r="M1432" s="12">
        <v>2131</v>
      </c>
      <c r="N1432" s="12">
        <v>145</v>
      </c>
      <c r="O1432" s="14"/>
      <c r="P1432" s="6">
        <v>41687.875428240739</v>
      </c>
      <c r="Q1432" s="15" t="s">
        <v>4524</v>
      </c>
      <c r="R1432" s="17" t="s">
        <v>4525</v>
      </c>
      <c r="S1432" s="16" t="s">
        <v>4526</v>
      </c>
      <c r="T1432" s="11"/>
      <c r="U1432" s="10" t="str">
        <f>HYPERLINK("https://pbs.twimg.com/profile_images/900432165195980801/-2-6PzuU.jpg","View")</f>
        <v>View</v>
      </c>
    </row>
    <row r="1433" spans="1:21" ht="51">
      <c r="A1433" s="6">
        <v>43439.685925925922</v>
      </c>
      <c r="B1433" s="7" t="str">
        <f>HYPERLINK("https://twitter.com/Kiarita9621","@Kiarita9621")</f>
        <v>@Kiarita9621</v>
      </c>
      <c r="C1433" s="8" t="s">
        <v>5137</v>
      </c>
      <c r="D1433" s="9" t="s">
        <v>5138</v>
      </c>
      <c r="E1433" s="10" t="str">
        <f>HYPERLINK("https://twitter.com/Kiarita9621/status/1070338941189087232","1070338941189087232")</f>
        <v>1070338941189087232</v>
      </c>
      <c r="F1433" s="11"/>
      <c r="G1433" s="11"/>
      <c r="H1433" s="11"/>
      <c r="I1433" s="12">
        <v>1</v>
      </c>
      <c r="J1433" s="12">
        <v>1</v>
      </c>
      <c r="K1433" s="13" t="str">
        <f t="shared" si="329"/>
        <v>Twitter for Android</v>
      </c>
      <c r="L1433" s="12">
        <v>594</v>
      </c>
      <c r="M1433" s="12">
        <v>799</v>
      </c>
      <c r="N1433" s="12">
        <v>3</v>
      </c>
      <c r="O1433" s="14"/>
      <c r="P1433" s="6">
        <v>42257.887662037036</v>
      </c>
      <c r="Q1433" s="11"/>
      <c r="R1433" s="17" t="s">
        <v>5139</v>
      </c>
      <c r="S1433" s="11"/>
      <c r="T1433" s="11"/>
      <c r="U1433" s="10" t="str">
        <f>HYPERLINK("https://pbs.twimg.com/profile_images/1069423459304972288/UetNwypo.jpg","View")</f>
        <v>View</v>
      </c>
    </row>
    <row r="1434" spans="1:21" ht="30.6">
      <c r="A1434" s="6">
        <v>43439.685601851852</v>
      </c>
      <c r="B1434" s="7" t="str">
        <f>HYPERLINK("https://twitter.com/Vityspain","@Vityspain")</f>
        <v>@Vityspain</v>
      </c>
      <c r="C1434" s="8" t="s">
        <v>1661</v>
      </c>
      <c r="D1434" s="9" t="s">
        <v>5140</v>
      </c>
      <c r="E1434" s="10" t="str">
        <f>HYPERLINK("https://twitter.com/Vityspain/status/1070338826336432128","1070338826336432128")</f>
        <v>1070338826336432128</v>
      </c>
      <c r="F1434" s="11"/>
      <c r="G1434" s="16" t="s">
        <v>5141</v>
      </c>
      <c r="H1434" s="11"/>
      <c r="I1434" s="12">
        <v>0</v>
      </c>
      <c r="J1434" s="12">
        <v>0</v>
      </c>
      <c r="K1434" s="13" t="str">
        <f t="shared" si="329"/>
        <v>Twitter for Android</v>
      </c>
      <c r="L1434" s="12">
        <v>2159</v>
      </c>
      <c r="M1434" s="12">
        <v>2129</v>
      </c>
      <c r="N1434" s="12">
        <v>46</v>
      </c>
      <c r="O1434" s="14"/>
      <c r="P1434" s="6">
        <v>40530.921736111108</v>
      </c>
      <c r="Q1434" s="15" t="s">
        <v>197</v>
      </c>
      <c r="R1434" s="17" t="s">
        <v>1664</v>
      </c>
      <c r="S1434" s="11"/>
      <c r="T1434" s="11"/>
      <c r="U1434" s="10" t="str">
        <f>HYPERLINK("https://pbs.twimg.com/profile_images/1071414131906019328/A5h9O2aJ.jpg","View")</f>
        <v>View</v>
      </c>
    </row>
    <row r="1435" spans="1:21" ht="30.6">
      <c r="A1435" s="6">
        <v>43439.684930555552</v>
      </c>
      <c r="B1435" s="7" t="str">
        <f>HYPERLINK("https://twitter.com/Iratwira","@Iratwira")</f>
        <v>@Iratwira</v>
      </c>
      <c r="C1435" s="8" t="s">
        <v>5142</v>
      </c>
      <c r="D1435" s="9" t="s">
        <v>5143</v>
      </c>
      <c r="E1435" s="10" t="str">
        <f>HYPERLINK("https://twitter.com/Iratwira/status/1070338581636546561","1070338581636546561")</f>
        <v>1070338581636546561</v>
      </c>
      <c r="F1435" s="11"/>
      <c r="G1435" s="16" t="s">
        <v>5144</v>
      </c>
      <c r="H1435" s="11"/>
      <c r="I1435" s="12">
        <v>0</v>
      </c>
      <c r="J1435" s="12">
        <v>0</v>
      </c>
      <c r="K1435" s="13" t="str">
        <f t="shared" ref="K1435:K1437" si="330">HYPERLINK("http://twitter.com/download/iphone","Twitter for iPhone")</f>
        <v>Twitter for iPhone</v>
      </c>
      <c r="L1435" s="12">
        <v>137</v>
      </c>
      <c r="M1435" s="12">
        <v>183</v>
      </c>
      <c r="N1435" s="12">
        <v>3</v>
      </c>
      <c r="O1435" s="14"/>
      <c r="P1435" s="6">
        <v>40014.412951388891</v>
      </c>
      <c r="Q1435" s="15" t="s">
        <v>5145</v>
      </c>
      <c r="R1435" s="17" t="s">
        <v>5146</v>
      </c>
      <c r="S1435" s="16" t="s">
        <v>5147</v>
      </c>
      <c r="T1435" s="11"/>
      <c r="U1435" s="10" t="str">
        <f>HYPERLINK("https://pbs.twimg.com/profile_images/870046655634165760/igsm9AxV.jpg","View")</f>
        <v>View</v>
      </c>
    </row>
    <row r="1436" spans="1:21" ht="20.399999999999999">
      <c r="A1436" s="6">
        <v>43439.683865740742</v>
      </c>
      <c r="B1436" s="7" t="str">
        <f>HYPERLINK("https://twitter.com/ElenaLoryllan","@ElenaLoryllan")</f>
        <v>@ElenaLoryllan</v>
      </c>
      <c r="C1436" s="8" t="s">
        <v>5148</v>
      </c>
      <c r="D1436" s="9" t="s">
        <v>5149</v>
      </c>
      <c r="E1436" s="10" t="str">
        <f>HYPERLINK("https://twitter.com/ElenaLoryllan/status/1070338194888159233","1070338194888159233")</f>
        <v>1070338194888159233</v>
      </c>
      <c r="F1436" s="11"/>
      <c r="G1436" s="11"/>
      <c r="H1436" s="11"/>
      <c r="I1436" s="12">
        <v>1</v>
      </c>
      <c r="J1436" s="12">
        <v>4</v>
      </c>
      <c r="K1436" s="13" t="str">
        <f t="shared" si="330"/>
        <v>Twitter for iPhone</v>
      </c>
      <c r="L1436" s="12">
        <v>2293</v>
      </c>
      <c r="M1436" s="12">
        <v>1412</v>
      </c>
      <c r="N1436" s="12">
        <v>12</v>
      </c>
      <c r="O1436" s="14"/>
      <c r="P1436" s="6">
        <v>41637.602650462963</v>
      </c>
      <c r="Q1436" s="15" t="s">
        <v>5150</v>
      </c>
      <c r="R1436" s="17" t="s">
        <v>5151</v>
      </c>
      <c r="S1436" s="11"/>
      <c r="T1436" s="11"/>
      <c r="U1436" s="10" t="str">
        <f>HYPERLINK("https://pbs.twimg.com/profile_images/916767086575316998/u-J4kdGB.jpg","View")</f>
        <v>View</v>
      </c>
    </row>
    <row r="1437" spans="1:21" ht="30.6">
      <c r="A1437" s="6">
        <v>43439.682152777779</v>
      </c>
      <c r="B1437" s="7" t="str">
        <f>HYPERLINK("https://twitter.com/Iberodesur","@Iberodesur")</f>
        <v>@Iberodesur</v>
      </c>
      <c r="C1437" s="8" t="s">
        <v>5152</v>
      </c>
      <c r="D1437" s="9" t="s">
        <v>5153</v>
      </c>
      <c r="E1437" s="10" t="str">
        <f>HYPERLINK("https://twitter.com/Iberodesur/status/1070337573845913600","1070337573845913600")</f>
        <v>1070337573845913600</v>
      </c>
      <c r="F1437" s="16" t="s">
        <v>772</v>
      </c>
      <c r="G1437" s="11"/>
      <c r="H1437" s="11"/>
      <c r="I1437" s="12">
        <v>0</v>
      </c>
      <c r="J1437" s="12">
        <v>1</v>
      </c>
      <c r="K1437" s="13" t="str">
        <f t="shared" si="330"/>
        <v>Twitter for iPhone</v>
      </c>
      <c r="L1437" s="12">
        <v>495</v>
      </c>
      <c r="M1437" s="12">
        <v>385</v>
      </c>
      <c r="N1437" s="12">
        <v>6</v>
      </c>
      <c r="O1437" s="14"/>
      <c r="P1437" s="6">
        <v>40685.987384259257</v>
      </c>
      <c r="Q1437" s="15" t="s">
        <v>197</v>
      </c>
      <c r="R1437" s="17" t="s">
        <v>5154</v>
      </c>
      <c r="S1437" s="11"/>
      <c r="T1437" s="11"/>
      <c r="U1437" s="10" t="str">
        <f>HYPERLINK("https://pbs.twimg.com/profile_images/1066697043886960641/ZnipHowh.jpg","View")</f>
        <v>View</v>
      </c>
    </row>
    <row r="1438" spans="1:21" ht="51">
      <c r="A1438" s="6">
        <v>43439.681550925925</v>
      </c>
      <c r="B1438" s="7" t="str">
        <f>HYPERLINK("https://twitter.com/UlisesGamez10","@UlisesGamez10")</f>
        <v>@UlisesGamez10</v>
      </c>
      <c r="C1438" s="8" t="s">
        <v>233</v>
      </c>
      <c r="D1438" s="9" t="s">
        <v>5155</v>
      </c>
      <c r="E1438" s="10" t="str">
        <f>HYPERLINK("https://twitter.com/UlisesGamez10/status/1070337356891385856","1070337356891385856")</f>
        <v>1070337356891385856</v>
      </c>
      <c r="F1438" s="11"/>
      <c r="G1438" s="16" t="s">
        <v>5156</v>
      </c>
      <c r="H1438" s="11"/>
      <c r="I1438" s="12">
        <v>0</v>
      </c>
      <c r="J1438" s="12">
        <v>0</v>
      </c>
      <c r="K1438" s="13" t="str">
        <f t="shared" ref="K1438:K1440" si="331">HYPERLINK("http://twitter.com/download/android","Twitter for Android")</f>
        <v>Twitter for Android</v>
      </c>
      <c r="L1438" s="12">
        <v>1184</v>
      </c>
      <c r="M1438" s="12">
        <v>5002</v>
      </c>
      <c r="N1438" s="12">
        <v>0</v>
      </c>
      <c r="O1438" s="14"/>
      <c r="P1438" s="6">
        <v>43190.59783564815</v>
      </c>
      <c r="Q1438" s="15" t="s">
        <v>236</v>
      </c>
      <c r="R1438" s="17" t="s">
        <v>237</v>
      </c>
      <c r="S1438" s="11"/>
      <c r="T1438" s="11"/>
      <c r="U1438" s="10" t="str">
        <f>HYPERLINK("https://pbs.twimg.com/profile_images/1068881444196499456/MCgxp2WR.jpg","View")</f>
        <v>View</v>
      </c>
    </row>
    <row r="1439" spans="1:21" ht="30.6">
      <c r="A1439" s="6">
        <v>43439.680428240739</v>
      </c>
      <c r="B1439" s="7" t="str">
        <f>HYPERLINK("https://twitter.com/Kiarita9621","@Kiarita9621")</f>
        <v>@Kiarita9621</v>
      </c>
      <c r="C1439" s="8" t="s">
        <v>5137</v>
      </c>
      <c r="D1439" s="9" t="s">
        <v>5157</v>
      </c>
      <c r="E1439" s="10" t="str">
        <f>HYPERLINK("https://twitter.com/Kiarita9621/status/1070336950832369669","1070336950832369669")</f>
        <v>1070336950832369669</v>
      </c>
      <c r="F1439" s="11"/>
      <c r="G1439" s="11"/>
      <c r="H1439" s="11"/>
      <c r="I1439" s="12">
        <v>0</v>
      </c>
      <c r="J1439" s="12">
        <v>0</v>
      </c>
      <c r="K1439" s="13" t="str">
        <f t="shared" si="331"/>
        <v>Twitter for Android</v>
      </c>
      <c r="L1439" s="12">
        <v>594</v>
      </c>
      <c r="M1439" s="12">
        <v>799</v>
      </c>
      <c r="N1439" s="12">
        <v>3</v>
      </c>
      <c r="O1439" s="14"/>
      <c r="P1439" s="6">
        <v>42257.887662037036</v>
      </c>
      <c r="Q1439" s="11"/>
      <c r="R1439" s="17" t="s">
        <v>5139</v>
      </c>
      <c r="S1439" s="11"/>
      <c r="T1439" s="11"/>
      <c r="U1439" s="10" t="str">
        <f>HYPERLINK("https://pbs.twimg.com/profile_images/1069423459304972288/UetNwypo.jpg","View")</f>
        <v>View</v>
      </c>
    </row>
    <row r="1440" spans="1:21" ht="61.2">
      <c r="A1440" s="6">
        <v>43439.680266203708</v>
      </c>
      <c r="B1440" s="7" t="str">
        <f>HYPERLINK("https://twitter.com/Guadalupbragado","@Guadalupbragado")</f>
        <v>@Guadalupbragado</v>
      </c>
      <c r="C1440" s="8" t="s">
        <v>5158</v>
      </c>
      <c r="D1440" s="9" t="s">
        <v>5159</v>
      </c>
      <c r="E1440" s="10" t="str">
        <f>HYPERLINK("https://twitter.com/Guadalupbragado/status/1070336892242149376","1070336892242149376")</f>
        <v>1070336892242149376</v>
      </c>
      <c r="F1440" s="15" t="s">
        <v>5160</v>
      </c>
      <c r="G1440" s="11"/>
      <c r="H1440" s="11"/>
      <c r="I1440" s="12">
        <v>0</v>
      </c>
      <c r="J1440" s="12">
        <v>0</v>
      </c>
      <c r="K1440" s="13" t="str">
        <f t="shared" si="331"/>
        <v>Twitter for Android</v>
      </c>
      <c r="L1440" s="12">
        <v>2166</v>
      </c>
      <c r="M1440" s="12">
        <v>1164</v>
      </c>
      <c r="N1440" s="12">
        <v>145</v>
      </c>
      <c r="O1440" s="14"/>
      <c r="P1440" s="6">
        <v>41291.88417824074</v>
      </c>
      <c r="Q1440" s="15" t="s">
        <v>185</v>
      </c>
      <c r="R1440" s="17" t="s">
        <v>5161</v>
      </c>
      <c r="S1440" s="16" t="s">
        <v>5162</v>
      </c>
      <c r="T1440" s="11"/>
      <c r="U1440" s="10" t="str">
        <f>HYPERLINK("https://pbs.twimg.com/profile_images/1047569124220657664/Fmljmoqf.jpg","View")</f>
        <v>View</v>
      </c>
    </row>
    <row r="1441" spans="1:21" ht="51">
      <c r="A1441" s="6">
        <v>43439.680254629631</v>
      </c>
      <c r="B1441" s="7" t="str">
        <f>HYPERLINK("https://twitter.com/PropheticSpiri","@PropheticSpiri")</f>
        <v>@PropheticSpiri</v>
      </c>
      <c r="C1441" s="8" t="s">
        <v>5163</v>
      </c>
      <c r="D1441" s="9" t="s">
        <v>5164</v>
      </c>
      <c r="E1441" s="10" t="str">
        <f>HYPERLINK("https://twitter.com/PropheticSpiri/status/1070336887997513728","1070336887997513728")</f>
        <v>1070336887997513728</v>
      </c>
      <c r="F1441" s="11"/>
      <c r="G1441" s="11"/>
      <c r="H1441" s="11"/>
      <c r="I1441" s="12">
        <v>0</v>
      </c>
      <c r="J1441" s="12">
        <v>0</v>
      </c>
      <c r="K1441" s="13" t="str">
        <f>HYPERLINK("https://mobile.twitter.com","Twitter Lite")</f>
        <v>Twitter Lite</v>
      </c>
      <c r="L1441" s="12">
        <v>4444</v>
      </c>
      <c r="M1441" s="12">
        <v>3928</v>
      </c>
      <c r="N1441" s="12">
        <v>14</v>
      </c>
      <c r="O1441" s="14"/>
      <c r="P1441" s="6">
        <v>40158.568611111114</v>
      </c>
      <c r="Q1441" s="15" t="s">
        <v>5165</v>
      </c>
      <c r="R1441" s="17" t="s">
        <v>5166</v>
      </c>
      <c r="S1441" s="11"/>
      <c r="T1441" s="11"/>
      <c r="U1441" s="10" t="str">
        <f>HYPERLINK("https://pbs.twimg.com/profile_images/1071346848961585153/fs7Bt3IE.jpg","View")</f>
        <v>View</v>
      </c>
    </row>
    <row r="1442" spans="1:21" ht="61.2">
      <c r="A1442" s="6">
        <v>43439.679074074069</v>
      </c>
      <c r="B1442" s="7" t="str">
        <f>HYPERLINK("https://twitter.com/AfectadosAIDA","@AfectadosAIDA")</f>
        <v>@AfectadosAIDA</v>
      </c>
      <c r="C1442" s="8" t="s">
        <v>1279</v>
      </c>
      <c r="D1442" s="9" t="s">
        <v>5167</v>
      </c>
      <c r="E1442" s="10" t="str">
        <f>HYPERLINK("https://twitter.com/AfectadosAIDA/status/1070336458236534784","1070336458236534784")</f>
        <v>1070336458236534784</v>
      </c>
      <c r="F1442" s="11"/>
      <c r="G1442" s="16" t="s">
        <v>5168</v>
      </c>
      <c r="H1442" s="11"/>
      <c r="I1442" s="12">
        <v>4</v>
      </c>
      <c r="J1442" s="12">
        <v>7</v>
      </c>
      <c r="K1442" s="13" t="str">
        <f>HYPERLINK("http://twitter.com","Twitter Web Client")</f>
        <v>Twitter Web Client</v>
      </c>
      <c r="L1442" s="12">
        <v>1991</v>
      </c>
      <c r="M1442" s="12">
        <v>5001</v>
      </c>
      <c r="N1442" s="12">
        <v>8</v>
      </c>
      <c r="O1442" s="14"/>
      <c r="P1442" s="6">
        <v>43142.501956018517</v>
      </c>
      <c r="Q1442" s="15" t="s">
        <v>618</v>
      </c>
      <c r="R1442" s="17" t="s">
        <v>1281</v>
      </c>
      <c r="S1442" s="16" t="s">
        <v>1282</v>
      </c>
      <c r="T1442" s="11"/>
      <c r="U1442" s="10" t="str">
        <f>HYPERLINK("https://pbs.twimg.com/profile_images/962650498796048384/RCQ9UHT6.jpg","View")</f>
        <v>View</v>
      </c>
    </row>
    <row r="1443" spans="1:21" ht="40.799999999999997">
      <c r="A1443" s="6">
        <v>43439.678599537037</v>
      </c>
      <c r="B1443" s="7" t="str">
        <f>HYPERLINK("https://twitter.com/IgnManzanares","@IgnManzanares")</f>
        <v>@IgnManzanares</v>
      </c>
      <c r="C1443" s="8" t="s">
        <v>2077</v>
      </c>
      <c r="D1443" s="9" t="s">
        <v>5169</v>
      </c>
      <c r="E1443" s="10" t="str">
        <f>HYPERLINK("https://twitter.com/IgnManzanares/status/1070336286756614147","1070336286756614147")</f>
        <v>1070336286756614147</v>
      </c>
      <c r="F1443" s="16" t="s">
        <v>4314</v>
      </c>
      <c r="G1443" s="11"/>
      <c r="H1443" s="11"/>
      <c r="I1443" s="12">
        <v>0</v>
      </c>
      <c r="J1443" s="12">
        <v>0</v>
      </c>
      <c r="K1443" s="13" t="str">
        <f t="shared" ref="K1443:K1445" si="332">HYPERLINK("http://twitter.com/download/android","Twitter for Android")</f>
        <v>Twitter for Android</v>
      </c>
      <c r="L1443" s="12">
        <v>114</v>
      </c>
      <c r="M1443" s="12">
        <v>439</v>
      </c>
      <c r="N1443" s="12">
        <v>0</v>
      </c>
      <c r="O1443" s="14"/>
      <c r="P1443" s="6">
        <v>41369.634189814817</v>
      </c>
      <c r="Q1443" s="15" t="s">
        <v>2080</v>
      </c>
      <c r="R1443" s="17" t="s">
        <v>2081</v>
      </c>
      <c r="S1443" s="11"/>
      <c r="T1443" s="11"/>
      <c r="U1443" s="10" t="str">
        <f>HYPERLINK("https://pbs.twimg.com/profile_images/1025713053919260672/WCeu-kOZ.jpg","View")</f>
        <v>View</v>
      </c>
    </row>
    <row r="1444" spans="1:21" ht="51">
      <c r="A1444" s="6">
        <v>43439.678287037037</v>
      </c>
      <c r="B1444" s="7" t="str">
        <f>HYPERLINK("https://twitter.com/UlisesGamez10","@UlisesGamez10")</f>
        <v>@UlisesGamez10</v>
      </c>
      <c r="C1444" s="8" t="s">
        <v>233</v>
      </c>
      <c r="D1444" s="9" t="s">
        <v>5170</v>
      </c>
      <c r="E1444" s="10" t="str">
        <f>HYPERLINK("https://twitter.com/UlisesGamez10/status/1070336172847702016","1070336172847702016")</f>
        <v>1070336172847702016</v>
      </c>
      <c r="F1444" s="11"/>
      <c r="G1444" s="16" t="s">
        <v>5171</v>
      </c>
      <c r="H1444" s="11"/>
      <c r="I1444" s="12">
        <v>0</v>
      </c>
      <c r="J1444" s="12">
        <v>1</v>
      </c>
      <c r="K1444" s="13" t="str">
        <f t="shared" si="332"/>
        <v>Twitter for Android</v>
      </c>
      <c r="L1444" s="12">
        <v>1184</v>
      </c>
      <c r="M1444" s="12">
        <v>5002</v>
      </c>
      <c r="N1444" s="12">
        <v>0</v>
      </c>
      <c r="O1444" s="14"/>
      <c r="P1444" s="6">
        <v>43190.59783564815</v>
      </c>
      <c r="Q1444" s="15" t="s">
        <v>236</v>
      </c>
      <c r="R1444" s="17" t="s">
        <v>237</v>
      </c>
      <c r="S1444" s="11"/>
      <c r="T1444" s="11"/>
      <c r="U1444" s="10" t="str">
        <f>HYPERLINK("https://pbs.twimg.com/profile_images/1068881444196499456/MCgxp2WR.jpg","View")</f>
        <v>View</v>
      </c>
    </row>
    <row r="1445" spans="1:21" ht="51">
      <c r="A1445" s="6">
        <v>43439.676828703705</v>
      </c>
      <c r="B1445" s="7" t="str">
        <f>HYPERLINK("https://twitter.com/marinamolina_16","@marinamolina_16")</f>
        <v>@marinamolina_16</v>
      </c>
      <c r="C1445" s="8" t="s">
        <v>5172</v>
      </c>
      <c r="D1445" s="9" t="s">
        <v>5173</v>
      </c>
      <c r="E1445" s="10" t="str">
        <f>HYPERLINK("https://twitter.com/marinamolina_16/status/1070335646550671363","1070335646550671363")</f>
        <v>1070335646550671363</v>
      </c>
      <c r="F1445" s="15" t="s">
        <v>1001</v>
      </c>
      <c r="G1445" s="16" t="s">
        <v>1002</v>
      </c>
      <c r="H1445" s="11"/>
      <c r="I1445" s="12">
        <v>0</v>
      </c>
      <c r="J1445" s="12">
        <v>0</v>
      </c>
      <c r="K1445" s="13" t="str">
        <f t="shared" si="332"/>
        <v>Twitter for Android</v>
      </c>
      <c r="L1445" s="12">
        <v>314</v>
      </c>
      <c r="M1445" s="12">
        <v>69</v>
      </c>
      <c r="N1445" s="12">
        <v>1</v>
      </c>
      <c r="O1445" s="14"/>
      <c r="P1445" s="6">
        <v>41180.605578703704</v>
      </c>
      <c r="Q1445" s="15" t="s">
        <v>709</v>
      </c>
      <c r="R1445" s="17" t="s">
        <v>5174</v>
      </c>
      <c r="S1445" s="16" t="s">
        <v>5175</v>
      </c>
      <c r="T1445" s="11"/>
      <c r="U1445" s="10" t="str">
        <f>HYPERLINK("https://pbs.twimg.com/profile_images/1069718741452251136/oV2lHjh1.jpg","View")</f>
        <v>View</v>
      </c>
    </row>
    <row r="1446" spans="1:21" ht="20.399999999999999">
      <c r="A1446" s="6">
        <v>43439.676539351851</v>
      </c>
      <c r="B1446" s="7" t="str">
        <f>HYPERLINK("https://twitter.com/4selles","@4selles")</f>
        <v>@4selles</v>
      </c>
      <c r="C1446" s="8" t="s">
        <v>5176</v>
      </c>
      <c r="D1446" s="9" t="s">
        <v>5177</v>
      </c>
      <c r="E1446" s="10" t="str">
        <f>HYPERLINK("https://twitter.com/4selles/status/1070335540053065729","1070335540053065729")</f>
        <v>1070335540053065729</v>
      </c>
      <c r="F1446" s="11"/>
      <c r="G1446" s="11"/>
      <c r="H1446" s="11"/>
      <c r="I1446" s="12">
        <v>0</v>
      </c>
      <c r="J1446" s="12">
        <v>1</v>
      </c>
      <c r="K1446" s="13" t="str">
        <f>HYPERLINK("http://twitter.com/download/iphone","Twitter for iPhone")</f>
        <v>Twitter for iPhone</v>
      </c>
      <c r="L1446" s="12">
        <v>696</v>
      </c>
      <c r="M1446" s="12">
        <v>463</v>
      </c>
      <c r="N1446" s="12">
        <v>9</v>
      </c>
      <c r="O1446" s="14"/>
      <c r="P1446" s="6">
        <v>41672.004560185189</v>
      </c>
      <c r="Q1446" s="15" t="s">
        <v>5178</v>
      </c>
      <c r="R1446" s="17" t="s">
        <v>5179</v>
      </c>
      <c r="S1446" s="16" t="s">
        <v>5180</v>
      </c>
      <c r="T1446" s="11"/>
      <c r="U1446" s="10" t="str">
        <f>HYPERLINK("https://pbs.twimg.com/profile_images/859054464963137537/GPs5qNOI.jpg","View")</f>
        <v>View</v>
      </c>
    </row>
    <row r="1447" spans="1:21" ht="51">
      <c r="A1447" s="6">
        <v>43439.675497685181</v>
      </c>
      <c r="B1447" s="7" t="str">
        <f>HYPERLINK("https://twitter.com/JubeirC","@JubeirC")</f>
        <v>@JubeirC</v>
      </c>
      <c r="C1447" s="8" t="s">
        <v>2398</v>
      </c>
      <c r="D1447" s="9" t="s">
        <v>5181</v>
      </c>
      <c r="E1447" s="10" t="str">
        <f>HYPERLINK("https://twitter.com/JubeirC/status/1070335164549656576","1070335164549656576")</f>
        <v>1070335164549656576</v>
      </c>
      <c r="F1447" s="16" t="s">
        <v>5182</v>
      </c>
      <c r="G1447" s="11"/>
      <c r="H1447" s="11"/>
      <c r="I1447" s="12">
        <v>0</v>
      </c>
      <c r="J1447" s="12">
        <v>0</v>
      </c>
      <c r="K1447" s="13" t="str">
        <f>HYPERLINK("http://twitter.com/download/android","Twitter for Android")</f>
        <v>Twitter for Android</v>
      </c>
      <c r="L1447" s="12">
        <v>90</v>
      </c>
      <c r="M1447" s="12">
        <v>168</v>
      </c>
      <c r="N1447" s="12">
        <v>0</v>
      </c>
      <c r="O1447" s="14"/>
      <c r="P1447" s="6">
        <v>43418.45893518519</v>
      </c>
      <c r="Q1447" s="15" t="s">
        <v>185</v>
      </c>
      <c r="R1447" s="17" t="s">
        <v>2400</v>
      </c>
      <c r="S1447" s="11"/>
      <c r="T1447" s="11"/>
      <c r="U1447" s="10" t="str">
        <f>HYPERLINK("https://pbs.twimg.com/profile_images/1067561859199447040/oZtzCzck.jpg","View")</f>
        <v>View</v>
      </c>
    </row>
    <row r="1448" spans="1:21" ht="102">
      <c r="A1448" s="6">
        <v>43439.675347222219</v>
      </c>
      <c r="B1448" s="7" t="str">
        <f>HYPERLINK("https://twitter.com/MonteLuz2","@MonteLuz2")</f>
        <v>@MonteLuz2</v>
      </c>
      <c r="C1448" s="8" t="s">
        <v>1161</v>
      </c>
      <c r="D1448" s="9" t="s">
        <v>5183</v>
      </c>
      <c r="E1448" s="10" t="str">
        <f>HYPERLINK("https://twitter.com/MonteLuz2/status/1070335107662266368","1070335107662266368")</f>
        <v>1070335107662266368</v>
      </c>
      <c r="F1448" s="16" t="s">
        <v>5184</v>
      </c>
      <c r="G1448" s="16" t="s">
        <v>5185</v>
      </c>
      <c r="H1448" s="11"/>
      <c r="I1448" s="12">
        <v>0</v>
      </c>
      <c r="J1448" s="12">
        <v>0</v>
      </c>
      <c r="K1448" s="13" t="str">
        <f>HYPERLINK("http://twitter.com/download/iphone","Twitter for iPhone")</f>
        <v>Twitter for iPhone</v>
      </c>
      <c r="L1448" s="12">
        <v>117</v>
      </c>
      <c r="M1448" s="12">
        <v>325</v>
      </c>
      <c r="N1448" s="12">
        <v>0</v>
      </c>
      <c r="O1448" s="14"/>
      <c r="P1448" s="6">
        <v>41243.015972222223</v>
      </c>
      <c r="Q1448" s="15" t="s">
        <v>1165</v>
      </c>
      <c r="R1448" s="17" t="s">
        <v>1166</v>
      </c>
      <c r="S1448" s="11"/>
      <c r="T1448" s="11"/>
      <c r="U1448" s="10" t="str">
        <f>HYPERLINK("https://pbs.twimg.com/profile_images/2912613588/0c587ef70076ff6b090474020e1dc339.jpeg","View")</f>
        <v>View</v>
      </c>
    </row>
    <row r="1449" spans="1:21" ht="30.6">
      <c r="A1449" s="6">
        <v>43439.675115740742</v>
      </c>
      <c r="B1449" s="7" t="str">
        <f>HYPERLINK("https://twitter.com/Manolo_Lopezz","@Manolo_Lopezz")</f>
        <v>@Manolo_Lopezz</v>
      </c>
      <c r="C1449" s="8" t="s">
        <v>5186</v>
      </c>
      <c r="D1449" s="9" t="s">
        <v>5187</v>
      </c>
      <c r="E1449" s="10" t="str">
        <f>HYPERLINK("https://twitter.com/Manolo_Lopezz/status/1070335023679705088","1070335023679705088")</f>
        <v>1070335023679705088</v>
      </c>
      <c r="F1449" s="11"/>
      <c r="G1449" s="11"/>
      <c r="H1449" s="11"/>
      <c r="I1449" s="12">
        <v>8</v>
      </c>
      <c r="J1449" s="12">
        <v>12</v>
      </c>
      <c r="K1449" s="13" t="str">
        <f>HYPERLINK("http://twitter.com","Twitter Web Client")</f>
        <v>Twitter Web Client</v>
      </c>
      <c r="L1449" s="12">
        <v>267</v>
      </c>
      <c r="M1449" s="12">
        <v>335</v>
      </c>
      <c r="N1449" s="12">
        <v>5</v>
      </c>
      <c r="O1449" s="14"/>
      <c r="P1449" s="6">
        <v>40816.732118055559</v>
      </c>
      <c r="Q1449" s="15" t="s">
        <v>5188</v>
      </c>
      <c r="R1449" s="17" t="s">
        <v>5189</v>
      </c>
      <c r="S1449" s="11"/>
      <c r="T1449" s="11"/>
      <c r="U1449" s="10" t="str">
        <f>HYPERLINK("https://pbs.twimg.com/profile_images/957539043939618816/xtBTS5Za.jpg","View")</f>
        <v>View</v>
      </c>
    </row>
    <row r="1450" spans="1:21" ht="40.799999999999997">
      <c r="A1450" s="6">
        <v>43439.674803240741</v>
      </c>
      <c r="B1450" s="7" t="str">
        <f>HYPERLINK("https://twitter.com/evxugh","@evxugh")</f>
        <v>@evxugh</v>
      </c>
      <c r="C1450" s="8" t="s">
        <v>5190</v>
      </c>
      <c r="D1450" s="9" t="s">
        <v>5191</v>
      </c>
      <c r="E1450" s="10" t="str">
        <f>HYPERLINK("https://twitter.com/evxugh/status/1070334913600282626","1070334913600282626")</f>
        <v>1070334913600282626</v>
      </c>
      <c r="F1450" s="11"/>
      <c r="G1450" s="11"/>
      <c r="H1450" s="11"/>
      <c r="I1450" s="12">
        <v>0</v>
      </c>
      <c r="J1450" s="12">
        <v>2</v>
      </c>
      <c r="K1450" s="13" t="str">
        <f>HYPERLINK("https://about.twitter.com/products/tweetdeck","TweetDeck")</f>
        <v>TweetDeck</v>
      </c>
      <c r="L1450" s="12">
        <v>55</v>
      </c>
      <c r="M1450" s="12">
        <v>83</v>
      </c>
      <c r="N1450" s="12">
        <v>1</v>
      </c>
      <c r="O1450" s="14"/>
      <c r="P1450" s="6">
        <v>43382.792546296296</v>
      </c>
      <c r="Q1450" s="15" t="s">
        <v>724</v>
      </c>
      <c r="R1450" s="17" t="s">
        <v>5192</v>
      </c>
      <c r="S1450" s="16" t="s">
        <v>5193</v>
      </c>
      <c r="T1450" s="11"/>
      <c r="U1450" s="10" t="str">
        <f>HYPERLINK("https://pbs.twimg.com/profile_images/1068888564761534464/LBxHkt9g.jpg","View")</f>
        <v>View</v>
      </c>
    </row>
    <row r="1451" spans="1:21" ht="51">
      <c r="A1451" s="6">
        <v>43439.67459490741</v>
      </c>
      <c r="B1451" s="7" t="str">
        <f>HYPERLINK("https://twitter.com/JRFapuestas","@JRFapuestas")</f>
        <v>@JRFapuestas</v>
      </c>
      <c r="C1451" s="8" t="s">
        <v>5194</v>
      </c>
      <c r="D1451" s="9" t="s">
        <v>5195</v>
      </c>
      <c r="E1451" s="10" t="str">
        <f>HYPERLINK("https://twitter.com/JRFapuestas/status/1070334835359707136","1070334835359707136")</f>
        <v>1070334835359707136</v>
      </c>
      <c r="F1451" s="16" t="s">
        <v>2766</v>
      </c>
      <c r="G1451" s="16" t="s">
        <v>2767</v>
      </c>
      <c r="H1451" s="11"/>
      <c r="I1451" s="12">
        <v>0</v>
      </c>
      <c r="J1451" s="12">
        <v>0</v>
      </c>
      <c r="K1451" s="13" t="str">
        <f>HYPERLINK("http://twitter.com/download/iphone","Twitter for iPhone")</f>
        <v>Twitter for iPhone</v>
      </c>
      <c r="L1451" s="12">
        <v>6223</v>
      </c>
      <c r="M1451" s="12">
        <v>951</v>
      </c>
      <c r="N1451" s="12">
        <v>88</v>
      </c>
      <c r="O1451" s="14"/>
      <c r="P1451" s="6">
        <v>41740.736331018517</v>
      </c>
      <c r="Q1451" s="11"/>
      <c r="R1451" s="17" t="s">
        <v>5196</v>
      </c>
      <c r="S1451" s="11"/>
      <c r="T1451" s="11"/>
      <c r="U1451" s="10" t="str">
        <f>HYPERLINK("https://pbs.twimg.com/profile_images/473794645353185280/fLDlAtpK.jpeg","View")</f>
        <v>View</v>
      </c>
    </row>
    <row r="1452" spans="1:21" ht="20.399999999999999">
      <c r="A1452" s="6">
        <v>43439.674537037034</v>
      </c>
      <c r="B1452" s="7" t="str">
        <f>HYPERLINK("https://twitter.com/LAREVUELO53","@LAREVUELO53")</f>
        <v>@LAREVUELO53</v>
      </c>
      <c r="C1452" s="8" t="s">
        <v>1426</v>
      </c>
      <c r="D1452" s="9" t="s">
        <v>5197</v>
      </c>
      <c r="E1452" s="10" t="str">
        <f>HYPERLINK("https://twitter.com/LAREVUELO53/status/1070334815931650049","1070334815931650049")</f>
        <v>1070334815931650049</v>
      </c>
      <c r="F1452" s="16" t="s">
        <v>5198</v>
      </c>
      <c r="G1452" s="11"/>
      <c r="H1452" s="11"/>
      <c r="I1452" s="12">
        <v>1</v>
      </c>
      <c r="J1452" s="12">
        <v>1</v>
      </c>
      <c r="K1452" s="13" t="str">
        <f>HYPERLINK("http://twitter.com","Twitter Web Client")</f>
        <v>Twitter Web Client</v>
      </c>
      <c r="L1452" s="12">
        <v>415</v>
      </c>
      <c r="M1452" s="12">
        <v>1519</v>
      </c>
      <c r="N1452" s="12">
        <v>4</v>
      </c>
      <c r="O1452" s="14"/>
      <c r="P1452" s="6">
        <v>40681.9059375</v>
      </c>
      <c r="Q1452" s="15" t="s">
        <v>1429</v>
      </c>
      <c r="R1452" s="18"/>
      <c r="S1452" s="16" t="s">
        <v>1430</v>
      </c>
      <c r="T1452" s="11"/>
      <c r="U1452" s="10" t="str">
        <f>HYPERLINK("https://pbs.twimg.com/profile_images/719705597436960769/UB_JVe0J.jpg","View")</f>
        <v>View</v>
      </c>
    </row>
    <row r="1453" spans="1:21" ht="40.799999999999997">
      <c r="A1453" s="6">
        <v>43439.673692129625</v>
      </c>
      <c r="B1453" s="7" t="str">
        <f>HYPERLINK("https://twitter.com/lextresabogados","@lextresabogados")</f>
        <v>@lextresabogados</v>
      </c>
      <c r="C1453" s="8" t="s">
        <v>672</v>
      </c>
      <c r="D1453" s="9" t="s">
        <v>5017</v>
      </c>
      <c r="E1453" s="10" t="str">
        <f>HYPERLINK("https://twitter.com/lextresabogados/status/1070334510988959744","1070334510988959744")</f>
        <v>1070334510988959744</v>
      </c>
      <c r="F1453" s="16" t="s">
        <v>189</v>
      </c>
      <c r="G1453" s="16" t="s">
        <v>5199</v>
      </c>
      <c r="H1453" s="11"/>
      <c r="I1453" s="12">
        <v>1</v>
      </c>
      <c r="J1453" s="12">
        <v>1</v>
      </c>
      <c r="K1453" s="13" t="str">
        <f>HYPERLINK("http://35.180.36.179","botize nueva")</f>
        <v>botize nueva</v>
      </c>
      <c r="L1453" s="12">
        <v>2912</v>
      </c>
      <c r="M1453" s="12">
        <v>3525</v>
      </c>
      <c r="N1453" s="12">
        <v>26</v>
      </c>
      <c r="O1453" s="14"/>
      <c r="P1453" s="6">
        <v>42880.770949074074</v>
      </c>
      <c r="Q1453" s="15" t="s">
        <v>676</v>
      </c>
      <c r="R1453" s="17" t="s">
        <v>677</v>
      </c>
      <c r="S1453" s="16" t="s">
        <v>678</v>
      </c>
      <c r="T1453" s="11"/>
      <c r="U1453" s="10" t="str">
        <f>HYPERLINK("https://pbs.twimg.com/profile_images/1068056978679898113/YnjKwiVy.jpg","View")</f>
        <v>View</v>
      </c>
    </row>
    <row r="1454" spans="1:21" ht="30.6">
      <c r="A1454" s="6">
        <v>43439.670960648145</v>
      </c>
      <c r="B1454" s="7" t="str">
        <f>HYPERLINK("https://twitter.com/BaratariaMan","@BaratariaMan")</f>
        <v>@BaratariaMan</v>
      </c>
      <c r="C1454" s="8" t="s">
        <v>5200</v>
      </c>
      <c r="D1454" s="9" t="s">
        <v>5201</v>
      </c>
      <c r="E1454" s="10" t="str">
        <f>HYPERLINK("https://twitter.com/BaratariaMan/status/1070333518872502274","1070333518872502274")</f>
        <v>1070333518872502274</v>
      </c>
      <c r="F1454" s="11"/>
      <c r="G1454" s="16" t="s">
        <v>5202</v>
      </c>
      <c r="H1454" s="11"/>
      <c r="I1454" s="12">
        <v>1</v>
      </c>
      <c r="J1454" s="12">
        <v>1</v>
      </c>
      <c r="K1454" s="13" t="str">
        <f t="shared" ref="K1454:K1455" si="333">HYPERLINK("http://twitter.com/download/android","Twitter for Android")</f>
        <v>Twitter for Android</v>
      </c>
      <c r="L1454" s="12">
        <v>3</v>
      </c>
      <c r="M1454" s="12">
        <v>100</v>
      </c>
      <c r="N1454" s="12">
        <v>0</v>
      </c>
      <c r="O1454" s="14"/>
      <c r="P1454" s="6">
        <v>43059.297164351854</v>
      </c>
      <c r="Q1454" s="15" t="s">
        <v>5203</v>
      </c>
      <c r="R1454" s="17" t="s">
        <v>5204</v>
      </c>
      <c r="S1454" s="11"/>
      <c r="T1454" s="11"/>
      <c r="U1454" s="10" t="str">
        <f>HYPERLINK("https://pbs.twimg.com/profile_images/1070077231433695232/MS51T12g.jpg","View")</f>
        <v>View</v>
      </c>
    </row>
    <row r="1455" spans="1:21" ht="81.599999999999994">
      <c r="A1455" s="6">
        <v>43439.670752314814</v>
      </c>
      <c r="B1455" s="7" t="str">
        <f>HYPERLINK("https://twitter.com/IgnManzanares","@IgnManzanares")</f>
        <v>@IgnManzanares</v>
      </c>
      <c r="C1455" s="8" t="s">
        <v>2077</v>
      </c>
      <c r="D1455" s="9" t="s">
        <v>5205</v>
      </c>
      <c r="E1455" s="10" t="str">
        <f>HYPERLINK("https://twitter.com/IgnManzanares/status/1070333442758463490","1070333442758463490")</f>
        <v>1070333442758463490</v>
      </c>
      <c r="F1455" s="15" t="s">
        <v>5206</v>
      </c>
      <c r="G1455" s="11"/>
      <c r="H1455" s="11"/>
      <c r="I1455" s="12">
        <v>0</v>
      </c>
      <c r="J1455" s="12">
        <v>0</v>
      </c>
      <c r="K1455" s="13" t="str">
        <f t="shared" si="333"/>
        <v>Twitter for Android</v>
      </c>
      <c r="L1455" s="12">
        <v>114</v>
      </c>
      <c r="M1455" s="12">
        <v>439</v>
      </c>
      <c r="N1455" s="12">
        <v>0</v>
      </c>
      <c r="O1455" s="14"/>
      <c r="P1455" s="6">
        <v>41369.634189814817</v>
      </c>
      <c r="Q1455" s="15" t="s">
        <v>2080</v>
      </c>
      <c r="R1455" s="17" t="s">
        <v>2081</v>
      </c>
      <c r="S1455" s="11"/>
      <c r="T1455" s="11"/>
      <c r="U1455" s="10" t="str">
        <f>HYPERLINK("https://pbs.twimg.com/profile_images/1025713053919260672/WCeu-kOZ.jpg","View")</f>
        <v>View</v>
      </c>
    </row>
    <row r="1456" spans="1:21" ht="40.799999999999997">
      <c r="A1456" s="6">
        <v>43439.670254629629</v>
      </c>
      <c r="B1456" s="7" t="str">
        <f>HYPERLINK("https://twitter.com/CastilianWoman","@CastilianWoman")</f>
        <v>@CastilianWoman</v>
      </c>
      <c r="C1456" s="8" t="s">
        <v>5207</v>
      </c>
      <c r="D1456" s="9" t="s">
        <v>5208</v>
      </c>
      <c r="E1456" s="10" t="str">
        <f>HYPERLINK("https://twitter.com/CastilianWoman/status/1070333261514199040","1070333261514199040")</f>
        <v>1070333261514199040</v>
      </c>
      <c r="F1456" s="16" t="s">
        <v>5209</v>
      </c>
      <c r="G1456" s="11"/>
      <c r="H1456" s="11"/>
      <c r="I1456" s="12">
        <v>1</v>
      </c>
      <c r="J1456" s="12">
        <v>1</v>
      </c>
      <c r="K1456" s="13" t="str">
        <f>HYPERLINK("http://twitter.com/download/iphone","Twitter for iPhone")</f>
        <v>Twitter for iPhone</v>
      </c>
      <c r="L1456" s="12">
        <v>2430</v>
      </c>
      <c r="M1456" s="12">
        <v>4075</v>
      </c>
      <c r="N1456" s="12">
        <v>23</v>
      </c>
      <c r="O1456" s="14"/>
      <c r="P1456" s="6">
        <v>42595.671261574069</v>
      </c>
      <c r="Q1456" s="15" t="s">
        <v>5210</v>
      </c>
      <c r="R1456" s="17" t="s">
        <v>5211</v>
      </c>
      <c r="S1456" s="11"/>
      <c r="T1456" s="11"/>
      <c r="U1456" s="10" t="str">
        <f>HYPERLINK("https://pbs.twimg.com/profile_images/927908445357002752/7Zlsd7X9.jpg","View")</f>
        <v>View</v>
      </c>
    </row>
    <row r="1457" spans="1:21" ht="40.799999999999997">
      <c r="A1457" s="6">
        <v>43439.669756944444</v>
      </c>
      <c r="B1457" s="7" t="str">
        <f>HYPERLINK("https://twitter.com/Kiarita9621","@Kiarita9621")</f>
        <v>@Kiarita9621</v>
      </c>
      <c r="C1457" s="8" t="s">
        <v>5137</v>
      </c>
      <c r="D1457" s="9" t="s">
        <v>5212</v>
      </c>
      <c r="E1457" s="10" t="str">
        <f>HYPERLINK("https://twitter.com/Kiarita9621/status/1070333083088502786","1070333083088502786")</f>
        <v>1070333083088502786</v>
      </c>
      <c r="F1457" s="16" t="s">
        <v>5213</v>
      </c>
      <c r="G1457" s="11"/>
      <c r="H1457" s="11"/>
      <c r="I1457" s="12">
        <v>0</v>
      </c>
      <c r="J1457" s="12">
        <v>0</v>
      </c>
      <c r="K1457" s="13" t="str">
        <f t="shared" ref="K1457:K1458" si="334">HYPERLINK("http://twitter.com/download/android","Twitter for Android")</f>
        <v>Twitter for Android</v>
      </c>
      <c r="L1457" s="12">
        <v>594</v>
      </c>
      <c r="M1457" s="12">
        <v>799</v>
      </c>
      <c r="N1457" s="12">
        <v>3</v>
      </c>
      <c r="O1457" s="14"/>
      <c r="P1457" s="6">
        <v>42257.887662037036</v>
      </c>
      <c r="Q1457" s="11"/>
      <c r="R1457" s="17" t="s">
        <v>5139</v>
      </c>
      <c r="S1457" s="11"/>
      <c r="T1457" s="11"/>
      <c r="U1457" s="10" t="str">
        <f>HYPERLINK("https://pbs.twimg.com/profile_images/1069423459304972288/UetNwypo.jpg","View")</f>
        <v>View</v>
      </c>
    </row>
    <row r="1458" spans="1:21" ht="91.8">
      <c r="A1458" s="6">
        <v>43439.669745370367</v>
      </c>
      <c r="B1458" s="7" t="str">
        <f>HYPERLINK("https://twitter.com/doguionrego","@doguionrego")</f>
        <v>@doguionrego</v>
      </c>
      <c r="C1458" s="8" t="s">
        <v>194</v>
      </c>
      <c r="D1458" s="9" t="s">
        <v>5214</v>
      </c>
      <c r="E1458" s="10" t="str">
        <f>HYPERLINK("https://twitter.com/doguionrego/status/1070333079481405440","1070333079481405440")</f>
        <v>1070333079481405440</v>
      </c>
      <c r="F1458" s="15" t="s">
        <v>5215</v>
      </c>
      <c r="G1458" s="11"/>
      <c r="H1458" s="11"/>
      <c r="I1458" s="12">
        <v>0</v>
      </c>
      <c r="J1458" s="12">
        <v>0</v>
      </c>
      <c r="K1458" s="13" t="str">
        <f t="shared" si="334"/>
        <v>Twitter for Android</v>
      </c>
      <c r="L1458" s="12">
        <v>4650</v>
      </c>
      <c r="M1458" s="12">
        <v>4774</v>
      </c>
      <c r="N1458" s="12">
        <v>9</v>
      </c>
      <c r="O1458" s="14"/>
      <c r="P1458" s="6">
        <v>42818.633599537032</v>
      </c>
      <c r="Q1458" s="15" t="s">
        <v>197</v>
      </c>
      <c r="R1458" s="17" t="s">
        <v>198</v>
      </c>
      <c r="S1458" s="11"/>
      <c r="T1458" s="11"/>
      <c r="U1458" s="10" t="str">
        <f>HYPERLINK("https://pbs.twimg.com/profile_images/937615481602789376/OBa7YPsM.jpg","View")</f>
        <v>View</v>
      </c>
    </row>
    <row r="1459" spans="1:21" ht="51">
      <c r="A1459" s="6">
        <v>43439.66805555555</v>
      </c>
      <c r="B1459" s="7" t="str">
        <f>HYPERLINK("https://twitter.com/bitMomentum","@bitMomentum")</f>
        <v>@bitMomentum</v>
      </c>
      <c r="C1459" s="8" t="s">
        <v>82</v>
      </c>
      <c r="D1459" s="9" t="s">
        <v>5216</v>
      </c>
      <c r="E1459" s="10" t="str">
        <f>HYPERLINK("https://twitter.com/bitMomentum/status/1070332465246560256","1070332465246560256")</f>
        <v>1070332465246560256</v>
      </c>
      <c r="F1459" s="11"/>
      <c r="G1459" s="11"/>
      <c r="H1459" s="11"/>
      <c r="I1459" s="12">
        <v>0</v>
      </c>
      <c r="J1459" s="12">
        <v>0</v>
      </c>
      <c r="K1459" s="13" t="str">
        <f>HYPERLINK("http://www.bitmomentum.com","bitMomentum Bot")</f>
        <v>bitMomentum Bot</v>
      </c>
      <c r="L1459" s="12">
        <v>10253</v>
      </c>
      <c r="M1459" s="12">
        <v>1059</v>
      </c>
      <c r="N1459" s="12">
        <v>263</v>
      </c>
      <c r="O1459" s="14"/>
      <c r="P1459" s="6">
        <v>41608.667511574073</v>
      </c>
      <c r="Q1459" s="11"/>
      <c r="R1459" s="17" t="s">
        <v>84</v>
      </c>
      <c r="S1459" s="16" t="s">
        <v>85</v>
      </c>
      <c r="T1459" s="11"/>
      <c r="U1459" s="10" t="str">
        <f>HYPERLINK("https://pbs.twimg.com/profile_images/378800000862185241/20ij2H3u.png","View")</f>
        <v>View</v>
      </c>
    </row>
    <row r="1460" spans="1:21" ht="61.2">
      <c r="A1460" s="6">
        <v>43439.667708333334</v>
      </c>
      <c r="B1460" s="7" t="str">
        <f>HYPERLINK("https://twitter.com/UlisesGamez10","@UlisesGamez10")</f>
        <v>@UlisesGamez10</v>
      </c>
      <c r="C1460" s="8" t="s">
        <v>233</v>
      </c>
      <c r="D1460" s="9" t="s">
        <v>5217</v>
      </c>
      <c r="E1460" s="10" t="str">
        <f>HYPERLINK("https://twitter.com/UlisesGamez10/status/1070332341841813505","1070332341841813505")</f>
        <v>1070332341841813505</v>
      </c>
      <c r="F1460" s="11"/>
      <c r="G1460" s="11"/>
      <c r="H1460" s="11"/>
      <c r="I1460" s="12">
        <v>1</v>
      </c>
      <c r="J1460" s="12">
        <v>1</v>
      </c>
      <c r="K1460" s="13" t="str">
        <f>HYPERLINK("http://twitter.com/download/android","Twitter for Android")</f>
        <v>Twitter for Android</v>
      </c>
      <c r="L1460" s="12">
        <v>1184</v>
      </c>
      <c r="M1460" s="12">
        <v>5002</v>
      </c>
      <c r="N1460" s="12">
        <v>0</v>
      </c>
      <c r="O1460" s="14"/>
      <c r="P1460" s="6">
        <v>43190.59783564815</v>
      </c>
      <c r="Q1460" s="15" t="s">
        <v>236</v>
      </c>
      <c r="R1460" s="17" t="s">
        <v>237</v>
      </c>
      <c r="S1460" s="11"/>
      <c r="T1460" s="11"/>
      <c r="U1460" s="10" t="str">
        <f>HYPERLINK("https://pbs.twimg.com/profile_images/1068881444196499456/MCgxp2WR.jpg","View")</f>
        <v>View</v>
      </c>
    </row>
    <row r="1461" spans="1:21" ht="51">
      <c r="A1461" s="6">
        <v>43439.667361111111</v>
      </c>
      <c r="B1461" s="7" t="str">
        <f>HYPERLINK("https://twitter.com/bitMomentum","@bitMomentum")</f>
        <v>@bitMomentum</v>
      </c>
      <c r="C1461" s="8" t="s">
        <v>82</v>
      </c>
      <c r="D1461" s="9" t="s">
        <v>5218</v>
      </c>
      <c r="E1461" s="10" t="str">
        <f>HYPERLINK("https://twitter.com/bitMomentum/status/1070332213621858304","1070332213621858304")</f>
        <v>1070332213621858304</v>
      </c>
      <c r="F1461" s="11"/>
      <c r="G1461" s="11"/>
      <c r="H1461" s="11"/>
      <c r="I1461" s="12">
        <v>0</v>
      </c>
      <c r="J1461" s="12">
        <v>0</v>
      </c>
      <c r="K1461" s="13" t="str">
        <f>HYPERLINK("http://www.bitmomentum.com","bitMomentum Bot")</f>
        <v>bitMomentum Bot</v>
      </c>
      <c r="L1461" s="12">
        <v>10253</v>
      </c>
      <c r="M1461" s="12">
        <v>1059</v>
      </c>
      <c r="N1461" s="12">
        <v>263</v>
      </c>
      <c r="O1461" s="14"/>
      <c r="P1461" s="6">
        <v>41608.667511574073</v>
      </c>
      <c r="Q1461" s="11"/>
      <c r="R1461" s="17" t="s">
        <v>84</v>
      </c>
      <c r="S1461" s="16" t="s">
        <v>85</v>
      </c>
      <c r="T1461" s="11"/>
      <c r="U1461" s="10" t="str">
        <f>HYPERLINK("https://pbs.twimg.com/profile_images/378800000862185241/20ij2H3u.png","View")</f>
        <v>View</v>
      </c>
    </row>
    <row r="1462" spans="1:21" ht="30.6">
      <c r="A1462" s="6">
        <v>43439.667303240742</v>
      </c>
      <c r="B1462" s="7" t="str">
        <f>HYPERLINK("https://twitter.com/hermoti","@hermoti")</f>
        <v>@hermoti</v>
      </c>
      <c r="C1462" s="8" t="s">
        <v>5219</v>
      </c>
      <c r="D1462" s="9" t="s">
        <v>5220</v>
      </c>
      <c r="E1462" s="10" t="str">
        <f>HYPERLINK("https://twitter.com/hermoti/status/1070332192889470976","1070332192889470976")</f>
        <v>1070332192889470976</v>
      </c>
      <c r="F1462" s="11"/>
      <c r="G1462" s="11"/>
      <c r="H1462" s="11"/>
      <c r="I1462" s="12">
        <v>9</v>
      </c>
      <c r="J1462" s="12">
        <v>60</v>
      </c>
      <c r="K1462" s="13" t="str">
        <f t="shared" ref="K1462:K1463" si="335">HYPERLINK("http://twitter.com","Twitter Web Client")</f>
        <v>Twitter Web Client</v>
      </c>
      <c r="L1462" s="12">
        <v>4531</v>
      </c>
      <c r="M1462" s="12">
        <v>696</v>
      </c>
      <c r="N1462" s="12">
        <v>18</v>
      </c>
      <c r="O1462" s="14"/>
      <c r="P1462" s="6">
        <v>40235.636805555558</v>
      </c>
      <c r="Q1462" s="15" t="s">
        <v>5221</v>
      </c>
      <c r="R1462" s="17" t="s">
        <v>5222</v>
      </c>
      <c r="S1462" s="16" t="s">
        <v>5223</v>
      </c>
      <c r="T1462" s="11"/>
      <c r="U1462" s="10" t="str">
        <f>HYPERLINK("https://pbs.twimg.com/profile_images/1057066305919111168/dc4oi_KV.jpg","View")</f>
        <v>View</v>
      </c>
    </row>
    <row r="1463" spans="1:21" ht="61.2">
      <c r="A1463" s="6">
        <v>43439.666655092587</v>
      </c>
      <c r="B1463" s="7" t="str">
        <f>HYPERLINK("https://twitter.com/scrats_regantes","@scrats_regantes")</f>
        <v>@scrats_regantes</v>
      </c>
      <c r="C1463" s="8" t="s">
        <v>5224</v>
      </c>
      <c r="D1463" s="9" t="s">
        <v>5225</v>
      </c>
      <c r="E1463" s="10" t="str">
        <f>HYPERLINK("https://twitter.com/scrats_regantes/status/1070331959598088193","1070331959598088193")</f>
        <v>1070331959598088193</v>
      </c>
      <c r="F1463" s="11"/>
      <c r="G1463" s="16" t="s">
        <v>5226</v>
      </c>
      <c r="H1463" s="11"/>
      <c r="I1463" s="12">
        <v>13</v>
      </c>
      <c r="J1463" s="12">
        <v>17</v>
      </c>
      <c r="K1463" s="13" t="str">
        <f t="shared" si="335"/>
        <v>Twitter Web Client</v>
      </c>
      <c r="L1463" s="12">
        <v>2331</v>
      </c>
      <c r="M1463" s="12">
        <v>2056</v>
      </c>
      <c r="N1463" s="12">
        <v>41</v>
      </c>
      <c r="O1463" s="14"/>
      <c r="P1463" s="6">
        <v>41192.820393518516</v>
      </c>
      <c r="Q1463" s="15" t="s">
        <v>5227</v>
      </c>
      <c r="R1463" s="17" t="s">
        <v>5228</v>
      </c>
      <c r="S1463" s="16" t="s">
        <v>5229</v>
      </c>
      <c r="T1463" s="11"/>
      <c r="U1463" s="10" t="str">
        <f>HYPERLINK("https://pbs.twimg.com/profile_images/450525701569933312/ic6s1SQE.jpeg","View")</f>
        <v>View</v>
      </c>
    </row>
    <row r="1464" spans="1:21" ht="51">
      <c r="A1464" s="6">
        <v>43439.663252314815</v>
      </c>
      <c r="B1464" s="7" t="str">
        <f>HYPERLINK("https://twitter.com/voxnoticias_es","@voxnoticias_es")</f>
        <v>@voxnoticias_es</v>
      </c>
      <c r="C1464" s="8" t="s">
        <v>4522</v>
      </c>
      <c r="D1464" s="9" t="s">
        <v>3460</v>
      </c>
      <c r="E1464" s="10" t="str">
        <f>HYPERLINK("https://twitter.com/voxnoticias_es/status/1070330725335994368","1070330725335994368")</f>
        <v>1070330725335994368</v>
      </c>
      <c r="F1464" s="16" t="s">
        <v>5230</v>
      </c>
      <c r="G1464" s="11"/>
      <c r="H1464" s="11"/>
      <c r="I1464" s="12">
        <v>475</v>
      </c>
      <c r="J1464" s="12">
        <v>671</v>
      </c>
      <c r="K1464" s="13" t="str">
        <f>HYPERLINK("http://twitter.com/download/android","Twitter for Android")</f>
        <v>Twitter for Android</v>
      </c>
      <c r="L1464" s="12">
        <v>21631</v>
      </c>
      <c r="M1464" s="12">
        <v>2131</v>
      </c>
      <c r="N1464" s="12">
        <v>145</v>
      </c>
      <c r="O1464" s="14"/>
      <c r="P1464" s="6">
        <v>41687.875428240739</v>
      </c>
      <c r="Q1464" s="15" t="s">
        <v>4524</v>
      </c>
      <c r="R1464" s="17" t="s">
        <v>4525</v>
      </c>
      <c r="S1464" s="16" t="s">
        <v>4526</v>
      </c>
      <c r="T1464" s="11"/>
      <c r="U1464" s="10" t="str">
        <f>HYPERLINK("https://pbs.twimg.com/profile_images/900432165195980801/-2-6PzuU.jpg","View")</f>
        <v>View</v>
      </c>
    </row>
    <row r="1465" spans="1:21" ht="51">
      <c r="A1465" s="6">
        <v>43439.66207175926</v>
      </c>
      <c r="B1465" s="7" t="str">
        <f>HYPERLINK("https://twitter.com/LuihmiMalyssimo","@LuihmiMalyssimo")</f>
        <v>@LuihmiMalyssimo</v>
      </c>
      <c r="C1465" s="8" t="s">
        <v>5231</v>
      </c>
      <c r="D1465" s="9" t="s">
        <v>5232</v>
      </c>
      <c r="E1465" s="10" t="str">
        <f>HYPERLINK("https://twitter.com/LuihmiMalyssimo/status/1070330298011971584","1070330298011971584")</f>
        <v>1070330298011971584</v>
      </c>
      <c r="F1465" s="16" t="s">
        <v>5233</v>
      </c>
      <c r="G1465" s="11"/>
      <c r="H1465" s="11"/>
      <c r="I1465" s="12">
        <v>1</v>
      </c>
      <c r="J1465" s="12">
        <v>1</v>
      </c>
      <c r="K1465" s="13" t="str">
        <f>HYPERLINK("http://twitter.com","Twitter Web Client")</f>
        <v>Twitter Web Client</v>
      </c>
      <c r="L1465" s="12">
        <v>81</v>
      </c>
      <c r="M1465" s="12">
        <v>46</v>
      </c>
      <c r="N1465" s="12">
        <v>1</v>
      </c>
      <c r="O1465" s="14"/>
      <c r="P1465" s="6">
        <v>41950.216307870374</v>
      </c>
      <c r="Q1465" s="11"/>
      <c r="R1465" s="18"/>
      <c r="S1465" s="11"/>
      <c r="T1465" s="11"/>
      <c r="U1465" s="10" t="str">
        <f>HYPERLINK("https://pbs.twimg.com/profile_images/530574294720339968/TwMCdBxI.jpeg","View")</f>
        <v>View</v>
      </c>
    </row>
    <row r="1466" spans="1:21" ht="61.2">
      <c r="A1466" s="6">
        <v>43439.661157407405</v>
      </c>
      <c r="B1466" s="7" t="str">
        <f>HYPERLINK("https://twitter.com/Susana_Ulukai","@Susana_Ulukai")</f>
        <v>@Susana_Ulukai</v>
      </c>
      <c r="C1466" s="8" t="s">
        <v>5234</v>
      </c>
      <c r="D1466" s="9" t="s">
        <v>5235</v>
      </c>
      <c r="E1466" s="10" t="str">
        <f>HYPERLINK("https://twitter.com/Susana_Ulukai/status/1070329964854239234","1070329964854239234")</f>
        <v>1070329964854239234</v>
      </c>
      <c r="F1466" s="16" t="s">
        <v>5236</v>
      </c>
      <c r="G1466" s="16" t="s">
        <v>5237</v>
      </c>
      <c r="H1466" s="11"/>
      <c r="I1466" s="12">
        <v>0</v>
      </c>
      <c r="J1466" s="12">
        <v>0</v>
      </c>
      <c r="K1466" s="13" t="str">
        <f>HYPERLINK("http://twitter.com/download/android","Twitter for Android")</f>
        <v>Twitter for Android</v>
      </c>
      <c r="L1466" s="12">
        <v>299</v>
      </c>
      <c r="M1466" s="12">
        <v>364</v>
      </c>
      <c r="N1466" s="12">
        <v>1</v>
      </c>
      <c r="O1466" s="14"/>
      <c r="P1466" s="6">
        <v>40814.668310185181</v>
      </c>
      <c r="Q1466" s="15" t="s">
        <v>1440</v>
      </c>
      <c r="R1466" s="17" t="s">
        <v>5238</v>
      </c>
      <c r="S1466" s="11"/>
      <c r="T1466" s="11"/>
      <c r="U1466" s="10" t="str">
        <f>HYPERLINK("https://pbs.twimg.com/profile_images/899521631298740225/8nGAVDED.jpg","View")</f>
        <v>View</v>
      </c>
    </row>
    <row r="1467" spans="1:21" ht="61.2">
      <c r="A1467" s="6">
        <v>43439.659745370373</v>
      </c>
      <c r="B1467" s="7" t="str">
        <f>HYPERLINK("https://twitter.com/pakez","@pakez")</f>
        <v>@pakez</v>
      </c>
      <c r="C1467" s="8" t="s">
        <v>5239</v>
      </c>
      <c r="D1467" s="9" t="s">
        <v>5240</v>
      </c>
      <c r="E1467" s="10" t="str">
        <f>HYPERLINK("https://twitter.com/pakez/status/1070329453593665541","1070329453593665541")</f>
        <v>1070329453593665541</v>
      </c>
      <c r="F1467" s="11"/>
      <c r="G1467" s="11"/>
      <c r="H1467" s="11"/>
      <c r="I1467" s="12">
        <v>4</v>
      </c>
      <c r="J1467" s="12">
        <v>7</v>
      </c>
      <c r="K1467" s="13" t="str">
        <f>HYPERLINK("https://mobile.twitter.com","Twitter Lite")</f>
        <v>Twitter Lite</v>
      </c>
      <c r="L1467" s="12">
        <v>1557</v>
      </c>
      <c r="M1467" s="12">
        <v>277</v>
      </c>
      <c r="N1467" s="12">
        <v>11</v>
      </c>
      <c r="O1467" s="14"/>
      <c r="P1467" s="6">
        <v>42879.886990740742</v>
      </c>
      <c r="Q1467" s="15" t="s">
        <v>5241</v>
      </c>
      <c r="R1467" s="17" t="s">
        <v>5242</v>
      </c>
      <c r="S1467" s="16" t="s">
        <v>5243</v>
      </c>
      <c r="T1467" s="11"/>
      <c r="U1467" s="10" t="str">
        <f>HYPERLINK("https://pbs.twimg.com/profile_images/1066051731942006785/gj3SQvM1.jpg","View")</f>
        <v>View</v>
      </c>
    </row>
    <row r="1468" spans="1:21" ht="51">
      <c r="A1468" s="6">
        <v>43439.659444444449</v>
      </c>
      <c r="B1468" s="7" t="str">
        <f>HYPERLINK("https://twitter.com/Pablo09251162","@Pablo09251162")</f>
        <v>@Pablo09251162</v>
      </c>
      <c r="C1468" s="8" t="s">
        <v>5244</v>
      </c>
      <c r="D1468" s="9" t="s">
        <v>5245</v>
      </c>
      <c r="E1468" s="10" t="str">
        <f>HYPERLINK("https://twitter.com/Pablo09251162/status/1070329346798309377","1070329346798309377")</f>
        <v>1070329346798309377</v>
      </c>
      <c r="F1468" s="11"/>
      <c r="G1468" s="11"/>
      <c r="H1468" s="11"/>
      <c r="I1468" s="12">
        <v>0</v>
      </c>
      <c r="J1468" s="12">
        <v>0</v>
      </c>
      <c r="K1468" s="13" t="str">
        <f>HYPERLINK("http://twitter.com/download/android","Twitter for Android")</f>
        <v>Twitter for Android</v>
      </c>
      <c r="L1468" s="12">
        <v>18</v>
      </c>
      <c r="M1468" s="12">
        <v>64</v>
      </c>
      <c r="N1468" s="12">
        <v>0</v>
      </c>
      <c r="O1468" s="14"/>
      <c r="P1468" s="6">
        <v>43438.566921296297</v>
      </c>
      <c r="Q1468" s="11"/>
      <c r="R1468" s="17" t="s">
        <v>5246</v>
      </c>
      <c r="S1468" s="11"/>
      <c r="T1468" s="11"/>
      <c r="U1468" s="10" t="str">
        <f>HYPERLINK("https://pbs.twimg.com/profile_images/1069933679403769856/XFDszsvN.jpg","View")</f>
        <v>View</v>
      </c>
    </row>
    <row r="1469" spans="1:21" ht="20.399999999999999">
      <c r="A1469" s="6">
        <v>43439.657407407409</v>
      </c>
      <c r="B1469" s="7" t="str">
        <f>HYPERLINK("https://twitter.com/Abrakhadaver","@Abrakhadaver")</f>
        <v>@Abrakhadaver</v>
      </c>
      <c r="C1469" s="8" t="s">
        <v>5247</v>
      </c>
      <c r="D1469" s="9" t="s">
        <v>5248</v>
      </c>
      <c r="E1469" s="10" t="str">
        <f>HYPERLINK("https://twitter.com/Abrakhadaver/status/1070328607732588544","1070328607732588544")</f>
        <v>1070328607732588544</v>
      </c>
      <c r="F1469" s="11"/>
      <c r="G1469" s="16" t="s">
        <v>5249</v>
      </c>
      <c r="H1469" s="11"/>
      <c r="I1469" s="12">
        <v>0</v>
      </c>
      <c r="J1469" s="12">
        <v>0</v>
      </c>
      <c r="K1469" s="13" t="str">
        <f>HYPERLINK("http://twitter.com/download/iphone","Twitter for iPhone")</f>
        <v>Twitter for iPhone</v>
      </c>
      <c r="L1469" s="12">
        <v>363</v>
      </c>
      <c r="M1469" s="12">
        <v>43</v>
      </c>
      <c r="N1469" s="12">
        <v>10</v>
      </c>
      <c r="O1469" s="14"/>
      <c r="P1469" s="6">
        <v>40682.141145833331</v>
      </c>
      <c r="Q1469" s="15" t="s">
        <v>5250</v>
      </c>
      <c r="R1469" s="17" t="s">
        <v>5251</v>
      </c>
      <c r="S1469" s="11"/>
      <c r="T1469" s="11"/>
      <c r="U1469" s="10" t="str">
        <f>HYPERLINK("https://pbs.twimg.com/profile_images/1051148179226406913/qWyO86Qu.jpg","View")</f>
        <v>View</v>
      </c>
    </row>
    <row r="1470" spans="1:21" ht="51">
      <c r="A1470" s="6">
        <v>43439.65724537037</v>
      </c>
      <c r="B1470" s="7" t="str">
        <f>HYPERLINK("https://twitter.com/JairoPiRfO","@JairoPiRfO")</f>
        <v>@JairoPiRfO</v>
      </c>
      <c r="C1470" s="8" t="s">
        <v>5252</v>
      </c>
      <c r="D1470" s="9" t="s">
        <v>5253</v>
      </c>
      <c r="E1470" s="10" t="str">
        <f>HYPERLINK("https://twitter.com/JairoPiRfO/status/1070328549846990848","1070328549846990848")</f>
        <v>1070328549846990848</v>
      </c>
      <c r="F1470" s="11"/>
      <c r="G1470" s="11"/>
      <c r="H1470" s="11"/>
      <c r="I1470" s="12">
        <v>0</v>
      </c>
      <c r="J1470" s="12">
        <v>3</v>
      </c>
      <c r="K1470" s="13" t="str">
        <f t="shared" ref="K1470:K1471" si="336">HYPERLINK("http://twitter.com/download/android","Twitter for Android")</f>
        <v>Twitter for Android</v>
      </c>
      <c r="L1470" s="12">
        <v>783</v>
      </c>
      <c r="M1470" s="12">
        <v>891</v>
      </c>
      <c r="N1470" s="12">
        <v>5</v>
      </c>
      <c r="O1470" s="14"/>
      <c r="P1470" s="6">
        <v>41073.610335648147</v>
      </c>
      <c r="Q1470" s="15" t="s">
        <v>670</v>
      </c>
      <c r="R1470" s="17" t="s">
        <v>5254</v>
      </c>
      <c r="S1470" s="11"/>
      <c r="T1470" s="11"/>
      <c r="U1470" s="10" t="str">
        <f>HYPERLINK("https://pbs.twimg.com/profile_images/962351396367499264/wkuogbhb.jpg","View")</f>
        <v>View</v>
      </c>
    </row>
    <row r="1471" spans="1:21" ht="40.799999999999997">
      <c r="A1471" s="6">
        <v>43439.656377314815</v>
      </c>
      <c r="B1471" s="7" t="str">
        <f>HYPERLINK("https://twitter.com/chequevara_","@chequevara_")</f>
        <v>@chequevara_</v>
      </c>
      <c r="C1471" s="8" t="s">
        <v>2200</v>
      </c>
      <c r="D1471" s="9" t="s">
        <v>5255</v>
      </c>
      <c r="E1471" s="10" t="str">
        <f>HYPERLINK("https://twitter.com/chequevara_/status/1070328234343129089","1070328234343129089")</f>
        <v>1070328234343129089</v>
      </c>
      <c r="F1471" s="11"/>
      <c r="G1471" s="11"/>
      <c r="H1471" s="11"/>
      <c r="I1471" s="12">
        <v>1</v>
      </c>
      <c r="J1471" s="12">
        <v>2</v>
      </c>
      <c r="K1471" s="13" t="str">
        <f t="shared" si="336"/>
        <v>Twitter for Android</v>
      </c>
      <c r="L1471" s="12">
        <v>2656</v>
      </c>
      <c r="M1471" s="12">
        <v>228</v>
      </c>
      <c r="N1471" s="12">
        <v>15</v>
      </c>
      <c r="O1471" s="14"/>
      <c r="P1471" s="6">
        <v>42374.437905092593</v>
      </c>
      <c r="Q1471" s="11"/>
      <c r="R1471" s="17" t="s">
        <v>2203</v>
      </c>
      <c r="S1471" s="11"/>
      <c r="T1471" s="11"/>
      <c r="U1471" s="10" t="str">
        <f>HYPERLINK("https://pbs.twimg.com/profile_images/957294038817951745/cEoYtoL8.jpg","View")</f>
        <v>View</v>
      </c>
    </row>
    <row r="1472" spans="1:21" ht="51">
      <c r="A1472" s="6">
        <v>43439.655740740738</v>
      </c>
      <c r="B1472" s="7" t="str">
        <f>HYPERLINK("https://twitter.com/Apus_ino","@Apus_ino")</f>
        <v>@Apus_ino</v>
      </c>
      <c r="C1472" s="8" t="s">
        <v>5256</v>
      </c>
      <c r="D1472" s="9" t="s">
        <v>5257</v>
      </c>
      <c r="E1472" s="10" t="str">
        <f>HYPERLINK("https://twitter.com/Apus_ino/status/1070328003249475584","1070328003249475584")</f>
        <v>1070328003249475584</v>
      </c>
      <c r="F1472" s="16" t="s">
        <v>5258</v>
      </c>
      <c r="G1472" s="11"/>
      <c r="H1472" s="11"/>
      <c r="I1472" s="12">
        <v>0</v>
      </c>
      <c r="J1472" s="12">
        <v>0</v>
      </c>
      <c r="K1472" s="13" t="str">
        <f>HYPERLINK("http://twitter.com/download/iphone","Twitter for iPhone")</f>
        <v>Twitter for iPhone</v>
      </c>
      <c r="L1472" s="12">
        <v>11</v>
      </c>
      <c r="M1472" s="12">
        <v>73</v>
      </c>
      <c r="N1472" s="12">
        <v>0</v>
      </c>
      <c r="O1472" s="14"/>
      <c r="P1472" s="6">
        <v>42679.935624999998</v>
      </c>
      <c r="Q1472" s="15" t="s">
        <v>185</v>
      </c>
      <c r="R1472" s="17" t="s">
        <v>2659</v>
      </c>
      <c r="S1472" s="11"/>
      <c r="T1472" s="11"/>
      <c r="U1472" s="10" t="str">
        <f>HYPERLINK("https://pbs.twimg.com/profile_images/914462305336905728/m0dzdhkj.jpg","View")</f>
        <v>View</v>
      </c>
    </row>
    <row r="1473" spans="1:21" ht="71.400000000000006">
      <c r="A1473" s="6">
        <v>43439.654432870375</v>
      </c>
      <c r="B1473" s="7" t="str">
        <f>HYPERLINK("https://twitter.com/MartinXaen","@MartinXaen")</f>
        <v>@MartinXaen</v>
      </c>
      <c r="C1473" s="8" t="s">
        <v>5259</v>
      </c>
      <c r="D1473" s="9" t="s">
        <v>5260</v>
      </c>
      <c r="E1473" s="10" t="str">
        <f>HYPERLINK("https://twitter.com/MartinXaen/status/1070327529540632576","1070327529540632576")</f>
        <v>1070327529540632576</v>
      </c>
      <c r="F1473" s="15" t="s">
        <v>5261</v>
      </c>
      <c r="G1473" s="11"/>
      <c r="H1473" s="11"/>
      <c r="I1473" s="12">
        <v>0</v>
      </c>
      <c r="J1473" s="12">
        <v>1</v>
      </c>
      <c r="K1473" s="13" t="str">
        <f>HYPERLINK("https://mobile.twitter.com","Twitter Lite")</f>
        <v>Twitter Lite</v>
      </c>
      <c r="L1473" s="12">
        <v>241</v>
      </c>
      <c r="M1473" s="12">
        <v>472</v>
      </c>
      <c r="N1473" s="12">
        <v>2</v>
      </c>
      <c r="O1473" s="14"/>
      <c r="P1473" s="6">
        <v>41707.451539351852</v>
      </c>
      <c r="Q1473" s="15" t="s">
        <v>5262</v>
      </c>
      <c r="R1473" s="17" t="s">
        <v>5263</v>
      </c>
      <c r="S1473" s="16" t="s">
        <v>5264</v>
      </c>
      <c r="T1473" s="11"/>
      <c r="U1473" s="10" t="str">
        <f>HYPERLINK("https://pbs.twimg.com/profile_images/1039175662358208512/b7CTsBaJ.jpg","View")</f>
        <v>View</v>
      </c>
    </row>
    <row r="1474" spans="1:21" ht="20.399999999999999">
      <c r="A1474" s="6">
        <v>43439.653645833328</v>
      </c>
      <c r="B1474" s="7" t="str">
        <f>HYPERLINK("https://twitter.com/AliciaFiesta","@AliciaFiesta")</f>
        <v>@AliciaFiesta</v>
      </c>
      <c r="C1474" s="8" t="s">
        <v>5265</v>
      </c>
      <c r="D1474" s="9" t="s">
        <v>5266</v>
      </c>
      <c r="E1474" s="10" t="str">
        <f>HYPERLINK("https://twitter.com/AliciaFiesta/status/1070327244172738560","1070327244172738560")</f>
        <v>1070327244172738560</v>
      </c>
      <c r="F1474" s="11"/>
      <c r="G1474" s="11"/>
      <c r="H1474" s="11"/>
      <c r="I1474" s="12">
        <v>0</v>
      </c>
      <c r="J1474" s="12">
        <v>3</v>
      </c>
      <c r="K1474" s="13" t="str">
        <f>HYPERLINK("http://twitter.com/download/android","Twitter for Android")</f>
        <v>Twitter for Android</v>
      </c>
      <c r="L1474" s="12">
        <v>183</v>
      </c>
      <c r="M1474" s="12">
        <v>616</v>
      </c>
      <c r="N1474" s="12">
        <v>1</v>
      </c>
      <c r="O1474" s="14"/>
      <c r="P1474" s="6">
        <v>42746.551168981481</v>
      </c>
      <c r="Q1474" s="15" t="s">
        <v>4000</v>
      </c>
      <c r="R1474" s="17" t="s">
        <v>5267</v>
      </c>
      <c r="S1474" s="11"/>
      <c r="T1474" s="11"/>
      <c r="U1474" s="10" t="str">
        <f>HYPERLINK("https://pbs.twimg.com/profile_images/856146894585819136/C49rHVdv.jpg","View")</f>
        <v>View</v>
      </c>
    </row>
    <row r="1475" spans="1:21" ht="30.6">
      <c r="A1475" s="6">
        <v>43439.652789351851</v>
      </c>
      <c r="B1475" s="7" t="str">
        <f>HYPERLINK("https://twitter.com/JustoDesdeTFE","@JustoDesdeTFE")</f>
        <v>@JustoDesdeTFE</v>
      </c>
      <c r="C1475" s="8" t="s">
        <v>957</v>
      </c>
      <c r="D1475" s="9" t="s">
        <v>5268</v>
      </c>
      <c r="E1475" s="10" t="str">
        <f>HYPERLINK("https://twitter.com/JustoDesdeTFE/status/1070326935761375232","1070326935761375232")</f>
        <v>1070326935761375232</v>
      </c>
      <c r="F1475" s="11"/>
      <c r="G1475" s="16" t="s">
        <v>5269</v>
      </c>
      <c r="H1475" s="11"/>
      <c r="I1475" s="12">
        <v>1</v>
      </c>
      <c r="J1475" s="12">
        <v>2</v>
      </c>
      <c r="K1475" s="13" t="str">
        <f>HYPERLINK("http://twitter.com/download/iphone","Twitter for iPhone")</f>
        <v>Twitter for iPhone</v>
      </c>
      <c r="L1475" s="12">
        <v>1461</v>
      </c>
      <c r="M1475" s="12">
        <v>1390</v>
      </c>
      <c r="N1475" s="12">
        <v>32</v>
      </c>
      <c r="O1475" s="14"/>
      <c r="P1475" s="6">
        <v>40106.436990740738</v>
      </c>
      <c r="Q1475" s="15" t="s">
        <v>960</v>
      </c>
      <c r="R1475" s="17" t="s">
        <v>961</v>
      </c>
      <c r="S1475" s="16" t="s">
        <v>962</v>
      </c>
      <c r="T1475" s="11"/>
      <c r="U1475" s="10" t="str">
        <f>HYPERLINK("https://pbs.twimg.com/profile_images/1071170613044281345/hL9BQXTp.jpg","View")</f>
        <v>View</v>
      </c>
    </row>
    <row r="1476" spans="1:21" ht="20.399999999999999">
      <c r="A1476" s="6">
        <v>43439.652361111112</v>
      </c>
      <c r="B1476" s="7" t="str">
        <f>HYPERLINK("https://twitter.com/CristinaVme","@CristinaVme")</f>
        <v>@CristinaVme</v>
      </c>
      <c r="C1476" s="8" t="s">
        <v>5270</v>
      </c>
      <c r="D1476" s="9" t="s">
        <v>5271</v>
      </c>
      <c r="E1476" s="10" t="str">
        <f>HYPERLINK("https://twitter.com/CristinaVme/status/1070326779422916608","1070326779422916608")</f>
        <v>1070326779422916608</v>
      </c>
      <c r="F1476" s="16" t="s">
        <v>2006</v>
      </c>
      <c r="G1476" s="11"/>
      <c r="H1476" s="11"/>
      <c r="I1476" s="12">
        <v>0</v>
      </c>
      <c r="J1476" s="12">
        <v>0</v>
      </c>
      <c r="K1476" s="13" t="str">
        <f t="shared" ref="K1476:K1477" si="337">HYPERLINK("http://twitter.com/download/android","Twitter for Android")</f>
        <v>Twitter for Android</v>
      </c>
      <c r="L1476" s="12">
        <v>178</v>
      </c>
      <c r="M1476" s="12">
        <v>275</v>
      </c>
      <c r="N1476" s="12">
        <v>4</v>
      </c>
      <c r="O1476" s="14"/>
      <c r="P1476" s="6">
        <v>40698.789918981478</v>
      </c>
      <c r="Q1476" s="11"/>
      <c r="R1476" s="17" t="s">
        <v>5272</v>
      </c>
      <c r="S1476" s="11"/>
      <c r="T1476" s="11"/>
      <c r="U1476" s="10" t="str">
        <f>HYPERLINK("https://pbs.twimg.com/profile_images/1032417694174171136/82Tdb90z.jpg","View")</f>
        <v>View</v>
      </c>
    </row>
    <row r="1477" spans="1:21" ht="51">
      <c r="A1477" s="6">
        <v>43439.651620370365</v>
      </c>
      <c r="B1477" s="7" t="str">
        <f>HYPERLINK("https://twitter.com/ppfrann","@ppfrann")</f>
        <v>@ppfrann</v>
      </c>
      <c r="C1477" s="8" t="s">
        <v>5273</v>
      </c>
      <c r="D1477" s="9" t="s">
        <v>5274</v>
      </c>
      <c r="E1477" s="10" t="str">
        <f>HYPERLINK("https://twitter.com/ppfrann/status/1070326511553662977","1070326511553662977")</f>
        <v>1070326511553662977</v>
      </c>
      <c r="F1477" s="11"/>
      <c r="G1477" s="16" t="s">
        <v>5275</v>
      </c>
      <c r="H1477" s="11"/>
      <c r="I1477" s="12">
        <v>0</v>
      </c>
      <c r="J1477" s="12">
        <v>0</v>
      </c>
      <c r="K1477" s="13" t="str">
        <f t="shared" si="337"/>
        <v>Twitter for Android</v>
      </c>
      <c r="L1477" s="12">
        <v>177</v>
      </c>
      <c r="M1477" s="12">
        <v>389</v>
      </c>
      <c r="N1477" s="12">
        <v>5</v>
      </c>
      <c r="O1477" s="14"/>
      <c r="P1477" s="6">
        <v>40952.738321759258</v>
      </c>
      <c r="Q1477" s="15" t="s">
        <v>5276</v>
      </c>
      <c r="R1477" s="17" t="s">
        <v>5277</v>
      </c>
      <c r="S1477" s="16" t="s">
        <v>5278</v>
      </c>
      <c r="T1477" s="11"/>
      <c r="U1477" s="10" t="str">
        <f>HYPERLINK("https://pbs.twimg.com/profile_images/844977191125442561/ztiNFrxn.jpg","View")</f>
        <v>View</v>
      </c>
    </row>
    <row r="1478" spans="1:21" ht="20.399999999999999">
      <c r="A1478" s="6">
        <v>43439.651134259257</v>
      </c>
      <c r="B1478" s="7" t="str">
        <f>HYPERLINK("https://twitter.com/negativo_stats","@negativo_stats")</f>
        <v>@negativo_stats</v>
      </c>
      <c r="C1478" s="8" t="s">
        <v>182</v>
      </c>
      <c r="D1478" s="9" t="s">
        <v>183</v>
      </c>
      <c r="E1478" s="10" t="str">
        <f>HYPERLINK("https://twitter.com/negativo_stats/status/1070326332695986177","1070326332695986177")</f>
        <v>1070326332695986177</v>
      </c>
      <c r="F1478" s="11"/>
      <c r="G1478" s="16" t="s">
        <v>5279</v>
      </c>
      <c r="H1478" s="11"/>
      <c r="I1478" s="12">
        <v>0</v>
      </c>
      <c r="J1478" s="12">
        <v>0</v>
      </c>
      <c r="K1478" s="13" t="str">
        <f>HYPERLINK("http://kosmonautica.es","Política Negativa")</f>
        <v>Política Negativa</v>
      </c>
      <c r="L1478" s="12">
        <v>268</v>
      </c>
      <c r="M1478" s="12">
        <v>788</v>
      </c>
      <c r="N1478" s="12">
        <v>2</v>
      </c>
      <c r="O1478" s="14"/>
      <c r="P1478" s="6">
        <v>42171.770601851851</v>
      </c>
      <c r="Q1478" s="15" t="s">
        <v>185</v>
      </c>
      <c r="R1478" s="17" t="s">
        <v>186</v>
      </c>
      <c r="S1478" s="11"/>
      <c r="T1478" s="11"/>
      <c r="U1478" s="10" t="str">
        <f>HYPERLINK("https://pbs.twimg.com/profile_images/628553625984438272/e-VHyhP1.png","View")</f>
        <v>View</v>
      </c>
    </row>
    <row r="1479" spans="1:21" ht="51">
      <c r="A1479" s="6">
        <v>43439.647974537038</v>
      </c>
      <c r="B1479" s="7" t="str">
        <f>HYPERLINK("https://twitter.com/Sekandose","@Sekandose")</f>
        <v>@Sekandose</v>
      </c>
      <c r="C1479" s="8" t="s">
        <v>5280</v>
      </c>
      <c r="D1479" s="9" t="s">
        <v>5281</v>
      </c>
      <c r="E1479" s="10" t="str">
        <f>HYPERLINK("https://twitter.com/Sekandose/status/1070325187839713280","1070325187839713280")</f>
        <v>1070325187839713280</v>
      </c>
      <c r="F1479" s="11"/>
      <c r="G1479" s="11"/>
      <c r="H1479" s="11"/>
      <c r="I1479" s="12">
        <v>0</v>
      </c>
      <c r="J1479" s="12">
        <v>0</v>
      </c>
      <c r="K1479" s="13" t="str">
        <f t="shared" ref="K1479:K1482" si="338">HYPERLINK("http://twitter.com/download/android","Twitter for Android")</f>
        <v>Twitter for Android</v>
      </c>
      <c r="L1479" s="12">
        <v>1086</v>
      </c>
      <c r="M1479" s="12">
        <v>1922</v>
      </c>
      <c r="N1479" s="12">
        <v>25</v>
      </c>
      <c r="O1479" s="14"/>
      <c r="P1479" s="6">
        <v>42065.920740740738</v>
      </c>
      <c r="Q1479" s="11"/>
      <c r="R1479" s="17" t="s">
        <v>5282</v>
      </c>
      <c r="S1479" s="11"/>
      <c r="T1479" s="11"/>
      <c r="U1479" s="10" t="str">
        <f>HYPERLINK("https://pbs.twimg.com/profile_images/957015517558136832/JjTnp9gU.jpg","View")</f>
        <v>View</v>
      </c>
    </row>
    <row r="1480" spans="1:21" ht="30.6">
      <c r="A1480" s="6">
        <v>43439.647523148145</v>
      </c>
      <c r="B1480" s="7" t="str">
        <f>HYPERLINK("https://twitter.com/GalloJusticiero","@GalloJusticiero")</f>
        <v>@GalloJusticiero</v>
      </c>
      <c r="C1480" s="8" t="s">
        <v>5283</v>
      </c>
      <c r="D1480" s="9" t="s">
        <v>5284</v>
      </c>
      <c r="E1480" s="10" t="str">
        <f>HYPERLINK("https://twitter.com/GalloJusticiero/status/1070325027525050371","1070325027525050371")</f>
        <v>1070325027525050371</v>
      </c>
      <c r="F1480" s="11"/>
      <c r="G1480" s="16" t="s">
        <v>5285</v>
      </c>
      <c r="H1480" s="11"/>
      <c r="I1480" s="12">
        <v>0</v>
      </c>
      <c r="J1480" s="12">
        <v>1</v>
      </c>
      <c r="K1480" s="13" t="str">
        <f t="shared" si="338"/>
        <v>Twitter for Android</v>
      </c>
      <c r="L1480" s="12">
        <v>4347</v>
      </c>
      <c r="M1480" s="12">
        <v>4555</v>
      </c>
      <c r="N1480" s="12">
        <v>5</v>
      </c>
      <c r="O1480" s="14"/>
      <c r="P1480" s="6">
        <v>42706.491967592592</v>
      </c>
      <c r="Q1480" s="11"/>
      <c r="R1480" s="17" t="s">
        <v>5286</v>
      </c>
      <c r="S1480" s="11"/>
      <c r="T1480" s="11"/>
      <c r="U1480" s="10" t="str">
        <f>HYPERLINK("https://pbs.twimg.com/profile_images/856223173133651968/hBxB61ou.jpg","View")</f>
        <v>View</v>
      </c>
    </row>
    <row r="1481" spans="1:21" ht="30.6">
      <c r="A1481" s="6">
        <v>43439.647476851853</v>
      </c>
      <c r="B1481" s="7" t="str">
        <f>HYPERLINK("https://twitter.com/estoycontigo__","@estoycontigo__")</f>
        <v>@estoycontigo__</v>
      </c>
      <c r="C1481" s="8" t="s">
        <v>5287</v>
      </c>
      <c r="D1481" s="9" t="s">
        <v>5288</v>
      </c>
      <c r="E1481" s="10" t="str">
        <f>HYPERLINK("https://twitter.com/estoycontigo__/status/1070325010185756675","1070325010185756675")</f>
        <v>1070325010185756675</v>
      </c>
      <c r="F1481" s="15" t="s">
        <v>1001</v>
      </c>
      <c r="G1481" s="16" t="s">
        <v>1002</v>
      </c>
      <c r="H1481" s="11"/>
      <c r="I1481" s="12">
        <v>0</v>
      </c>
      <c r="J1481" s="12">
        <v>0</v>
      </c>
      <c r="K1481" s="13" t="str">
        <f t="shared" si="338"/>
        <v>Twitter for Android</v>
      </c>
      <c r="L1481" s="12">
        <v>2759</v>
      </c>
      <c r="M1481" s="12">
        <v>2160</v>
      </c>
      <c r="N1481" s="12">
        <v>37</v>
      </c>
      <c r="O1481" s="14"/>
      <c r="P1481" s="6">
        <v>42203.452002314814</v>
      </c>
      <c r="Q1481" s="15" t="s">
        <v>5289</v>
      </c>
      <c r="R1481" s="17" t="s">
        <v>5290</v>
      </c>
      <c r="S1481" s="11"/>
      <c r="T1481" s="11"/>
      <c r="U1481" s="10" t="str">
        <f>HYPERLINK("https://pbs.twimg.com/profile_images/805391848323907584/e35bzUTj.jpg","View")</f>
        <v>View</v>
      </c>
    </row>
    <row r="1482" spans="1:21" ht="40.799999999999997">
      <c r="A1482" s="6">
        <v>43439.645358796297</v>
      </c>
      <c r="B1482" s="7" t="str">
        <f>HYPERLINK("https://twitter.com/NewHunter101","@NewHunter101")</f>
        <v>@NewHunter101</v>
      </c>
      <c r="C1482" s="8" t="s">
        <v>5291</v>
      </c>
      <c r="D1482" s="9" t="s">
        <v>5292</v>
      </c>
      <c r="E1482" s="10" t="str">
        <f>HYPERLINK("https://twitter.com/NewHunter101/status/1070324239453118464","1070324239453118464")</f>
        <v>1070324239453118464</v>
      </c>
      <c r="F1482" s="15" t="s">
        <v>5293</v>
      </c>
      <c r="G1482" s="16" t="s">
        <v>5294</v>
      </c>
      <c r="H1482" s="11"/>
      <c r="I1482" s="12">
        <v>0</v>
      </c>
      <c r="J1482" s="12">
        <v>0</v>
      </c>
      <c r="K1482" s="13" t="str">
        <f t="shared" si="338"/>
        <v>Twitter for Android</v>
      </c>
      <c r="L1482" s="12">
        <v>278</v>
      </c>
      <c r="M1482" s="12">
        <v>262</v>
      </c>
      <c r="N1482" s="12">
        <v>1</v>
      </c>
      <c r="O1482" s="14"/>
      <c r="P1482" s="6">
        <v>43000.958958333329</v>
      </c>
      <c r="Q1482" s="15" t="s">
        <v>5295</v>
      </c>
      <c r="R1482" s="17" t="s">
        <v>5296</v>
      </c>
      <c r="S1482" s="11"/>
      <c r="T1482" s="11"/>
      <c r="U1482" s="10" t="str">
        <f>HYPERLINK("https://pbs.twimg.com/profile_images/1055930710702342146/ba26-z1K.jpg","View")</f>
        <v>View</v>
      </c>
    </row>
    <row r="1483" spans="1:21" ht="40.799999999999997">
      <c r="A1483" s="6">
        <v>43439.644953703704</v>
      </c>
      <c r="B1483" s="7" t="str">
        <f>HYPERLINK("https://twitter.com/DrWhoElDoctor","@DrWhoElDoctor")</f>
        <v>@DrWhoElDoctor</v>
      </c>
      <c r="C1483" s="8" t="s">
        <v>5297</v>
      </c>
      <c r="D1483" s="9" t="s">
        <v>5298</v>
      </c>
      <c r="E1483" s="10" t="str">
        <f>HYPERLINK("https://twitter.com/DrWhoElDoctor/status/1070324092648198147","1070324092648198147")</f>
        <v>1070324092648198147</v>
      </c>
      <c r="F1483" s="11"/>
      <c r="G1483" s="11"/>
      <c r="H1483" s="11"/>
      <c r="I1483" s="12">
        <v>0</v>
      </c>
      <c r="J1483" s="12">
        <v>0</v>
      </c>
      <c r="K1483" s="13" t="str">
        <f>HYPERLINK("http://twitter.com","Twitter Web Client")</f>
        <v>Twitter Web Client</v>
      </c>
      <c r="L1483" s="12">
        <v>1222</v>
      </c>
      <c r="M1483" s="12">
        <v>599</v>
      </c>
      <c r="N1483" s="12">
        <v>51</v>
      </c>
      <c r="O1483" s="14"/>
      <c r="P1483" s="6">
        <v>40886.90048611111</v>
      </c>
      <c r="Q1483" s="15" t="s">
        <v>5299</v>
      </c>
      <c r="R1483" s="17" t="s">
        <v>5300</v>
      </c>
      <c r="S1483" s="16" t="s">
        <v>5301</v>
      </c>
      <c r="T1483" s="11"/>
      <c r="U1483" s="10" t="str">
        <f>HYPERLINK("https://pbs.twimg.com/profile_images/3180626336/115fb4dea2ad3031d98e2acdba56b0bc.gif","View")</f>
        <v>View</v>
      </c>
    </row>
    <row r="1484" spans="1:21" ht="30.6">
      <c r="A1484" s="6">
        <v>43439.642824074079</v>
      </c>
      <c r="B1484" s="7" t="str">
        <f>HYPERLINK("https://twitter.com/lanzas11","@lanzas11")</f>
        <v>@lanzas11</v>
      </c>
      <c r="C1484" s="8" t="s">
        <v>843</v>
      </c>
      <c r="D1484" s="9" t="s">
        <v>5302</v>
      </c>
      <c r="E1484" s="10" t="str">
        <f>HYPERLINK("https://twitter.com/lanzas11/status/1070323324603908096","1070323324603908096")</f>
        <v>1070323324603908096</v>
      </c>
      <c r="F1484" s="11"/>
      <c r="G1484" s="11"/>
      <c r="H1484" s="11"/>
      <c r="I1484" s="12">
        <v>0</v>
      </c>
      <c r="J1484" s="12">
        <v>2</v>
      </c>
      <c r="K1484" s="13" t="str">
        <f t="shared" ref="K1484:K1486" si="339">HYPERLINK("http://twitter.com/download/android","Twitter for Android")</f>
        <v>Twitter for Android</v>
      </c>
      <c r="L1484" s="12">
        <v>527</v>
      </c>
      <c r="M1484" s="12">
        <v>875</v>
      </c>
      <c r="N1484" s="12">
        <v>0</v>
      </c>
      <c r="O1484" s="14"/>
      <c r="P1484" s="6">
        <v>40796.665069444447</v>
      </c>
      <c r="Q1484" s="15" t="s">
        <v>1048</v>
      </c>
      <c r="R1484" s="17" t="s">
        <v>100</v>
      </c>
      <c r="S1484" s="11"/>
      <c r="T1484" s="11"/>
      <c r="U1484" s="10" t="str">
        <f>HYPERLINK("https://pbs.twimg.com/profile_images/1056667741766275072/3Nm-ZS0t.jpg","View")</f>
        <v>View</v>
      </c>
    </row>
    <row r="1485" spans="1:21" ht="51">
      <c r="A1485" s="6">
        <v>43439.642430555556</v>
      </c>
      <c r="B1485" s="7" t="str">
        <f>HYPERLINK("https://twitter.com/UlisesGamez10","@UlisesGamez10")</f>
        <v>@UlisesGamez10</v>
      </c>
      <c r="C1485" s="8" t="s">
        <v>233</v>
      </c>
      <c r="D1485" s="9" t="s">
        <v>5303</v>
      </c>
      <c r="E1485" s="10" t="str">
        <f>HYPERLINK("https://twitter.com/UlisesGamez10/status/1070323179342757889","1070323179342757889")</f>
        <v>1070323179342757889</v>
      </c>
      <c r="F1485" s="11"/>
      <c r="G1485" s="11"/>
      <c r="H1485" s="11"/>
      <c r="I1485" s="12">
        <v>4</v>
      </c>
      <c r="J1485" s="12">
        <v>0</v>
      </c>
      <c r="K1485" s="13" t="str">
        <f t="shared" si="339"/>
        <v>Twitter for Android</v>
      </c>
      <c r="L1485" s="12">
        <v>1184</v>
      </c>
      <c r="M1485" s="12">
        <v>5002</v>
      </c>
      <c r="N1485" s="12">
        <v>0</v>
      </c>
      <c r="O1485" s="14"/>
      <c r="P1485" s="6">
        <v>43190.59783564815</v>
      </c>
      <c r="Q1485" s="15" t="s">
        <v>236</v>
      </c>
      <c r="R1485" s="17" t="s">
        <v>237</v>
      </c>
      <c r="S1485" s="11"/>
      <c r="T1485" s="11"/>
      <c r="U1485" s="10" t="str">
        <f>HYPERLINK("https://pbs.twimg.com/profile_images/1068881444196499456/MCgxp2WR.jpg","View")</f>
        <v>View</v>
      </c>
    </row>
    <row r="1486" spans="1:21" ht="40.799999999999997">
      <c r="A1486" s="6">
        <v>43439.64230324074</v>
      </c>
      <c r="B1486" s="7" t="str">
        <f>HYPERLINK("https://twitter.com/AlbertoSBlanco","@AlbertoSBlanco")</f>
        <v>@AlbertoSBlanco</v>
      </c>
      <c r="C1486" s="8" t="s">
        <v>1127</v>
      </c>
      <c r="D1486" s="9" t="s">
        <v>5304</v>
      </c>
      <c r="E1486" s="10" t="str">
        <f>HYPERLINK("https://twitter.com/AlbertoSBlanco/status/1070323133977116672","1070323133977116672")</f>
        <v>1070323133977116672</v>
      </c>
      <c r="F1486" s="16" t="s">
        <v>5305</v>
      </c>
      <c r="G1486" s="11"/>
      <c r="H1486" s="11"/>
      <c r="I1486" s="12">
        <v>1</v>
      </c>
      <c r="J1486" s="12">
        <v>2</v>
      </c>
      <c r="K1486" s="13" t="str">
        <f t="shared" si="339"/>
        <v>Twitter for Android</v>
      </c>
      <c r="L1486" s="12">
        <v>2667</v>
      </c>
      <c r="M1486" s="12">
        <v>1400</v>
      </c>
      <c r="N1486" s="12">
        <v>33</v>
      </c>
      <c r="O1486" s="14"/>
      <c r="P1486" s="6">
        <v>40747.720636574071</v>
      </c>
      <c r="Q1486" s="11"/>
      <c r="R1486" s="17" t="s">
        <v>1130</v>
      </c>
      <c r="S1486" s="16" t="s">
        <v>1131</v>
      </c>
      <c r="T1486" s="11"/>
      <c r="U1486" s="10" t="str">
        <f>HYPERLINK("https://pbs.twimg.com/profile_images/966330983829135360/yRqQ0NN1.jpg","View")</f>
        <v>View</v>
      </c>
    </row>
    <row r="1487" spans="1:21" ht="40.799999999999997">
      <c r="A1487" s="6">
        <v>43439.642291666663</v>
      </c>
      <c r="B1487" s="7" t="str">
        <f>HYPERLINK("https://twitter.com/MaximoDalmau","@MaximoDalmau")</f>
        <v>@MaximoDalmau</v>
      </c>
      <c r="C1487" s="8" t="s">
        <v>5306</v>
      </c>
      <c r="D1487" s="9" t="s">
        <v>5307</v>
      </c>
      <c r="E1487" s="10" t="str">
        <f>HYPERLINK("https://twitter.com/MaximoDalmau/status/1070323130177085440","1070323130177085440")</f>
        <v>1070323130177085440</v>
      </c>
      <c r="F1487" s="11"/>
      <c r="G1487" s="11"/>
      <c r="H1487" s="11"/>
      <c r="I1487" s="12">
        <v>0</v>
      </c>
      <c r="J1487" s="12">
        <v>0</v>
      </c>
      <c r="K1487" s="13" t="str">
        <f>HYPERLINK("https://mobile.twitter.com","Twitter Lite")</f>
        <v>Twitter Lite</v>
      </c>
      <c r="L1487" s="12">
        <v>143</v>
      </c>
      <c r="M1487" s="12">
        <v>37</v>
      </c>
      <c r="N1487" s="12">
        <v>26</v>
      </c>
      <c r="O1487" s="14"/>
      <c r="P1487" s="6">
        <v>41203.396064814813</v>
      </c>
      <c r="Q1487" s="15" t="s">
        <v>5308</v>
      </c>
      <c r="R1487" s="17" t="s">
        <v>5309</v>
      </c>
      <c r="S1487" s="16" t="s">
        <v>5310</v>
      </c>
      <c r="T1487" s="11"/>
      <c r="U1487" s="10" t="str">
        <f>HYPERLINK("https://pbs.twimg.com/profile_images/782419042367836160/tKHe1tK6.jpg","View")</f>
        <v>View</v>
      </c>
    </row>
    <row r="1488" spans="1:21" ht="40.799999999999997">
      <c r="A1488" s="6">
        <v>43439.641597222224</v>
      </c>
      <c r="B1488" s="7" t="str">
        <f>HYPERLINK("https://twitter.com/Criado72Julio","@Criado72Julio")</f>
        <v>@Criado72Julio</v>
      </c>
      <c r="C1488" s="8" t="s">
        <v>5311</v>
      </c>
      <c r="D1488" s="9" t="s">
        <v>5312</v>
      </c>
      <c r="E1488" s="10" t="str">
        <f>HYPERLINK("https://twitter.com/Criado72Julio/status/1070322879722602496","1070322879722602496")</f>
        <v>1070322879722602496</v>
      </c>
      <c r="F1488" s="11"/>
      <c r="G1488" s="11"/>
      <c r="H1488" s="11"/>
      <c r="I1488" s="12">
        <v>0</v>
      </c>
      <c r="J1488" s="12">
        <v>0</v>
      </c>
      <c r="K1488" s="13" t="str">
        <f>HYPERLINK("http://twitter.com/download/iphone","Twitter for iPhone")</f>
        <v>Twitter for iPhone</v>
      </c>
      <c r="L1488" s="12">
        <v>281</v>
      </c>
      <c r="M1488" s="12">
        <v>388</v>
      </c>
      <c r="N1488" s="12">
        <v>4</v>
      </c>
      <c r="O1488" s="14"/>
      <c r="P1488" s="6">
        <v>41902.648668981477</v>
      </c>
      <c r="Q1488" s="11"/>
      <c r="R1488" s="17" t="s">
        <v>5313</v>
      </c>
      <c r="S1488" s="11"/>
      <c r="T1488" s="11"/>
      <c r="U1488" s="10" t="str">
        <f>HYPERLINK("https://pbs.twimg.com/profile_images/514057167662772226/MN084_vA.jpeg","View")</f>
        <v>View</v>
      </c>
    </row>
    <row r="1489" spans="1:21" ht="51">
      <c r="A1489" s="6">
        <v>43439.641539351855</v>
      </c>
      <c r="B1489" s="7" t="str">
        <f>HYPERLINK("https://twitter.com/SocialismoCivil","@SocialismoCivil")</f>
        <v>@SocialismoCivil</v>
      </c>
      <c r="C1489" s="8" t="s">
        <v>5314</v>
      </c>
      <c r="D1489" s="9" t="s">
        <v>5315</v>
      </c>
      <c r="E1489" s="10" t="str">
        <f>HYPERLINK("https://twitter.com/SocialismoCivil/status/1070322859497713670","1070322859497713670")</f>
        <v>1070322859497713670</v>
      </c>
      <c r="F1489" s="11"/>
      <c r="G1489" s="11"/>
      <c r="H1489" s="11"/>
      <c r="I1489" s="12">
        <v>0</v>
      </c>
      <c r="J1489" s="12">
        <v>0</v>
      </c>
      <c r="K1489" s="13" t="str">
        <f t="shared" ref="K1489:K1493" si="340">HYPERLINK("http://twitter.com/download/android","Twitter for Android")</f>
        <v>Twitter for Android</v>
      </c>
      <c r="L1489" s="12">
        <v>40</v>
      </c>
      <c r="M1489" s="12">
        <v>220</v>
      </c>
      <c r="N1489" s="12">
        <v>0</v>
      </c>
      <c r="O1489" s="14"/>
      <c r="P1489" s="6">
        <v>42979.957094907411</v>
      </c>
      <c r="Q1489" s="11"/>
      <c r="R1489" s="17" t="s">
        <v>5316</v>
      </c>
      <c r="S1489" s="11"/>
      <c r="T1489" s="11"/>
      <c r="U1489" s="10" t="str">
        <f>HYPERLINK("https://pbs.twimg.com/profile_images/903726755130822656/cddwKxp6.jpg","View")</f>
        <v>View</v>
      </c>
    </row>
    <row r="1490" spans="1:21" ht="61.2">
      <c r="A1490" s="6">
        <v>43439.641319444447</v>
      </c>
      <c r="B1490" s="7" t="str">
        <f>HYPERLINK("https://twitter.com/Vityspain","@Vityspain")</f>
        <v>@Vityspain</v>
      </c>
      <c r="C1490" s="8" t="s">
        <v>1661</v>
      </c>
      <c r="D1490" s="9" t="s">
        <v>5317</v>
      </c>
      <c r="E1490" s="10" t="str">
        <f>HYPERLINK("https://twitter.com/Vityspain/status/1070322777490710528","1070322777490710528")</f>
        <v>1070322777490710528</v>
      </c>
      <c r="F1490" s="11"/>
      <c r="G1490" s="16" t="s">
        <v>5318</v>
      </c>
      <c r="H1490" s="11"/>
      <c r="I1490" s="12">
        <v>1</v>
      </c>
      <c r="J1490" s="12">
        <v>1</v>
      </c>
      <c r="K1490" s="13" t="str">
        <f t="shared" si="340"/>
        <v>Twitter for Android</v>
      </c>
      <c r="L1490" s="12">
        <v>2159</v>
      </c>
      <c r="M1490" s="12">
        <v>2129</v>
      </c>
      <c r="N1490" s="12">
        <v>46</v>
      </c>
      <c r="O1490" s="14"/>
      <c r="P1490" s="6">
        <v>40530.921736111108</v>
      </c>
      <c r="Q1490" s="15" t="s">
        <v>197</v>
      </c>
      <c r="R1490" s="17" t="s">
        <v>1664</v>
      </c>
      <c r="S1490" s="11"/>
      <c r="T1490" s="11"/>
      <c r="U1490" s="10" t="str">
        <f>HYPERLINK("https://pbs.twimg.com/profile_images/1071414131906019328/A5h9O2aJ.jpg","View")</f>
        <v>View</v>
      </c>
    </row>
    <row r="1491" spans="1:21" ht="30.6">
      <c r="A1491" s="6">
        <v>43439.640520833331</v>
      </c>
      <c r="B1491" s="7" t="str">
        <f>HYPERLINK("https://twitter.com/luis191162","@luis191162")</f>
        <v>@luis191162</v>
      </c>
      <c r="C1491" s="8" t="s">
        <v>5319</v>
      </c>
      <c r="D1491" s="9" t="s">
        <v>5320</v>
      </c>
      <c r="E1491" s="10" t="str">
        <f>HYPERLINK("https://twitter.com/luis191162/status/1070322487056048129","1070322487056048129")</f>
        <v>1070322487056048129</v>
      </c>
      <c r="F1491" s="11"/>
      <c r="G1491" s="11"/>
      <c r="H1491" s="11"/>
      <c r="I1491" s="12">
        <v>0</v>
      </c>
      <c r="J1491" s="12">
        <v>0</v>
      </c>
      <c r="K1491" s="13" t="str">
        <f t="shared" si="340"/>
        <v>Twitter for Android</v>
      </c>
      <c r="L1491" s="12">
        <v>276</v>
      </c>
      <c r="M1491" s="12">
        <v>324</v>
      </c>
      <c r="N1491" s="12">
        <v>5</v>
      </c>
      <c r="O1491" s="14"/>
      <c r="P1491" s="6">
        <v>40610.612858796296</v>
      </c>
      <c r="Q1491" s="15" t="s">
        <v>5321</v>
      </c>
      <c r="R1491" s="17" t="s">
        <v>5322</v>
      </c>
      <c r="S1491" s="11"/>
      <c r="T1491" s="11"/>
      <c r="U1491" s="10" t="str">
        <f>HYPERLINK("https://pbs.twimg.com/profile_images/2953760497/7dfb10101135475c3e8d4c79792ee3cb.jpeg","View")</f>
        <v>View</v>
      </c>
    </row>
    <row r="1492" spans="1:21" ht="30.6">
      <c r="A1492" s="6">
        <v>43439.640127314815</v>
      </c>
      <c r="B1492" s="7" t="str">
        <f>HYPERLINK("https://twitter.com/NoemRamos","@NoemRamos")</f>
        <v>@NoemRamos</v>
      </c>
      <c r="C1492" s="8" t="s">
        <v>5323</v>
      </c>
      <c r="D1492" s="9" t="s">
        <v>5324</v>
      </c>
      <c r="E1492" s="10" t="str">
        <f>HYPERLINK("https://twitter.com/NoemRamos/status/1070322347796762624","1070322347796762624")</f>
        <v>1070322347796762624</v>
      </c>
      <c r="F1492" s="11"/>
      <c r="G1492" s="16" t="s">
        <v>5325</v>
      </c>
      <c r="H1492" s="11"/>
      <c r="I1492" s="12">
        <v>1</v>
      </c>
      <c r="J1492" s="12">
        <v>1</v>
      </c>
      <c r="K1492" s="13" t="str">
        <f t="shared" si="340"/>
        <v>Twitter for Android</v>
      </c>
      <c r="L1492" s="12">
        <v>346</v>
      </c>
      <c r="M1492" s="12">
        <v>175</v>
      </c>
      <c r="N1492" s="12">
        <v>5</v>
      </c>
      <c r="O1492" s="14"/>
      <c r="P1492" s="6">
        <v>40884.71943287037</v>
      </c>
      <c r="Q1492" s="15" t="s">
        <v>5326</v>
      </c>
      <c r="R1492" s="17" t="s">
        <v>5327</v>
      </c>
      <c r="S1492" s="11"/>
      <c r="T1492" s="11"/>
      <c r="U1492" s="10" t="str">
        <f>HYPERLINK("https://pbs.twimg.com/profile_images/986560361418641408/ELEFCanz.jpg","View")</f>
        <v>View</v>
      </c>
    </row>
    <row r="1493" spans="1:21" ht="30.6">
      <c r="A1493" s="6">
        <v>43439.640092592592</v>
      </c>
      <c r="B1493" s="7" t="str">
        <f>HYPERLINK("https://twitter.com/junglaprogre","@junglaprogre")</f>
        <v>@junglaprogre</v>
      </c>
      <c r="C1493" s="8" t="s">
        <v>5328</v>
      </c>
      <c r="D1493" s="9" t="s">
        <v>5329</v>
      </c>
      <c r="E1493" s="10" t="str">
        <f>HYPERLINK("https://twitter.com/junglaprogre/status/1070322332776976385","1070322332776976385")</f>
        <v>1070322332776976385</v>
      </c>
      <c r="F1493" s="11"/>
      <c r="G1493" s="16" t="s">
        <v>5330</v>
      </c>
      <c r="H1493" s="11"/>
      <c r="I1493" s="12">
        <v>0</v>
      </c>
      <c r="J1493" s="12">
        <v>0</v>
      </c>
      <c r="K1493" s="13" t="str">
        <f t="shared" si="340"/>
        <v>Twitter for Android</v>
      </c>
      <c r="L1493" s="12">
        <v>10</v>
      </c>
      <c r="M1493" s="12">
        <v>19</v>
      </c>
      <c r="N1493" s="12">
        <v>0</v>
      </c>
      <c r="O1493" s="14"/>
      <c r="P1493" s="6">
        <v>43385.426261574074</v>
      </c>
      <c r="Q1493" s="11"/>
      <c r="R1493" s="17" t="s">
        <v>5331</v>
      </c>
      <c r="S1493" s="11"/>
      <c r="T1493" s="11"/>
      <c r="U1493" s="10" t="str">
        <f>HYPERLINK("https://pbs.twimg.com/profile_images/1050678019700842497/HMtJCax0.jpg","View")</f>
        <v>View</v>
      </c>
    </row>
    <row r="1494" spans="1:21" ht="40.799999999999997">
      <c r="A1494" s="6">
        <v>43439.638865740737</v>
      </c>
      <c r="B1494" s="7" t="str">
        <f>HYPERLINK("https://twitter.com/redman_4757","@redman_4757")</f>
        <v>@redman_4757</v>
      </c>
      <c r="C1494" s="8" t="s">
        <v>5332</v>
      </c>
      <c r="D1494" s="9" t="s">
        <v>5333</v>
      </c>
      <c r="E1494" s="10" t="str">
        <f>HYPERLINK("https://twitter.com/redman_4757/status/1070321890080755712","1070321890080755712")</f>
        <v>1070321890080755712</v>
      </c>
      <c r="F1494" s="11"/>
      <c r="G1494" s="11"/>
      <c r="H1494" s="11"/>
      <c r="I1494" s="12">
        <v>0</v>
      </c>
      <c r="J1494" s="12">
        <v>1</v>
      </c>
      <c r="K1494" s="13" t="str">
        <f>HYPERLINK("https://mobile.twitter.com","Twitter Lite")</f>
        <v>Twitter Lite</v>
      </c>
      <c r="L1494" s="12">
        <v>518</v>
      </c>
      <c r="M1494" s="12">
        <v>520</v>
      </c>
      <c r="N1494" s="12">
        <v>11</v>
      </c>
      <c r="O1494" s="14"/>
      <c r="P1494" s="6">
        <v>42500.745555555557</v>
      </c>
      <c r="Q1494" s="15" t="s">
        <v>2344</v>
      </c>
      <c r="R1494" s="17" t="s">
        <v>5334</v>
      </c>
      <c r="S1494" s="11"/>
      <c r="T1494" s="11"/>
      <c r="U1494" s="10" t="str">
        <f>HYPERLINK("https://pbs.twimg.com/profile_images/973052144776556544/HuMUO_JB.jpg","View")</f>
        <v>View</v>
      </c>
    </row>
    <row r="1495" spans="1:21" ht="30.6">
      <c r="A1495" s="6">
        <v>43439.638726851852</v>
      </c>
      <c r="B1495" s="7" t="str">
        <f>HYPERLINK("https://twitter.com/switchbladeezeh","@switchbladeezeh")</f>
        <v>@switchbladeezeh</v>
      </c>
      <c r="C1495" s="8" t="s">
        <v>5335</v>
      </c>
      <c r="D1495" s="9" t="s">
        <v>5336</v>
      </c>
      <c r="E1495" s="10" t="str">
        <f>HYPERLINK("https://twitter.com/switchbladeezeh/status/1070321839841398784","1070321839841398784")</f>
        <v>1070321839841398784</v>
      </c>
      <c r="F1495" s="11"/>
      <c r="G1495" s="11"/>
      <c r="H1495" s="11"/>
      <c r="I1495" s="12">
        <v>0</v>
      </c>
      <c r="J1495" s="12">
        <v>0</v>
      </c>
      <c r="K1495" s="13" t="str">
        <f t="shared" ref="K1495:K1499" si="341">HYPERLINK("http://twitter.com/download/android","Twitter for Android")</f>
        <v>Twitter for Android</v>
      </c>
      <c r="L1495" s="12">
        <v>73</v>
      </c>
      <c r="M1495" s="12">
        <v>233</v>
      </c>
      <c r="N1495" s="12">
        <v>0</v>
      </c>
      <c r="O1495" s="14"/>
      <c r="P1495" s="6">
        <v>42992.034004629633</v>
      </c>
      <c r="Q1495" s="15" t="s">
        <v>197</v>
      </c>
      <c r="R1495" s="17" t="s">
        <v>5337</v>
      </c>
      <c r="S1495" s="11"/>
      <c r="T1495" s="11"/>
      <c r="U1495" s="10" t="str">
        <f>HYPERLINK("https://pbs.twimg.com/profile_images/1069567950754115584/fR79vfl5.jpg","View")</f>
        <v>View</v>
      </c>
    </row>
    <row r="1496" spans="1:21" ht="40.799999999999997">
      <c r="A1496" s="6">
        <v>43439.636550925927</v>
      </c>
      <c r="B1496" s="7" t="str">
        <f>HYPERLINK("https://twitter.com/unapedra","@unapedra")</f>
        <v>@unapedra</v>
      </c>
      <c r="C1496" s="8" t="s">
        <v>5338</v>
      </c>
      <c r="D1496" s="9" t="s">
        <v>5339</v>
      </c>
      <c r="E1496" s="10" t="str">
        <f>HYPERLINK("https://twitter.com/unapedra/status/1070321049915547648","1070321049915547648")</f>
        <v>1070321049915547648</v>
      </c>
      <c r="F1496" s="11"/>
      <c r="G1496" s="16" t="s">
        <v>5340</v>
      </c>
      <c r="H1496" s="11"/>
      <c r="I1496" s="12">
        <v>0</v>
      </c>
      <c r="J1496" s="12">
        <v>2</v>
      </c>
      <c r="K1496" s="13" t="str">
        <f t="shared" si="341"/>
        <v>Twitter for Android</v>
      </c>
      <c r="L1496" s="12">
        <v>487</v>
      </c>
      <c r="M1496" s="12">
        <v>798</v>
      </c>
      <c r="N1496" s="12">
        <v>13</v>
      </c>
      <c r="O1496" s="14"/>
      <c r="P1496" s="6">
        <v>40639.946180555555</v>
      </c>
      <c r="Q1496" s="15" t="s">
        <v>872</v>
      </c>
      <c r="R1496" s="17" t="s">
        <v>5341</v>
      </c>
      <c r="S1496" s="16" t="s">
        <v>5342</v>
      </c>
      <c r="T1496" s="11"/>
      <c r="U1496" s="10" t="str">
        <f>HYPERLINK("https://pbs.twimg.com/profile_images/925737546788818944/65pVAxFj.jpg","View")</f>
        <v>View</v>
      </c>
    </row>
    <row r="1497" spans="1:21" ht="61.2">
      <c r="A1497" s="6">
        <v>43439.635370370372</v>
      </c>
      <c r="B1497" s="7" t="str">
        <f>HYPERLINK("https://twitter.com/spanishdumb","@spanishdumb")</f>
        <v>@spanishdumb</v>
      </c>
      <c r="C1497" s="8" t="s">
        <v>5343</v>
      </c>
      <c r="D1497" s="9" t="s">
        <v>5344</v>
      </c>
      <c r="E1497" s="10" t="str">
        <f>HYPERLINK("https://twitter.com/spanishdumb/status/1070320622381744130","1070320622381744130")</f>
        <v>1070320622381744130</v>
      </c>
      <c r="F1497" s="16" t="s">
        <v>5345</v>
      </c>
      <c r="G1497" s="16" t="s">
        <v>5346</v>
      </c>
      <c r="H1497" s="11"/>
      <c r="I1497" s="12">
        <v>0</v>
      </c>
      <c r="J1497" s="12">
        <v>0</v>
      </c>
      <c r="K1497" s="13" t="str">
        <f t="shared" si="341"/>
        <v>Twitter for Android</v>
      </c>
      <c r="L1497" s="12">
        <v>257</v>
      </c>
      <c r="M1497" s="12">
        <v>221</v>
      </c>
      <c r="N1497" s="12">
        <v>2</v>
      </c>
      <c r="O1497" s="14"/>
      <c r="P1497" s="6">
        <v>40778.184212962966</v>
      </c>
      <c r="Q1497" s="11"/>
      <c r="R1497" s="18"/>
      <c r="S1497" s="11"/>
      <c r="T1497" s="11"/>
      <c r="U1497" s="10" t="str">
        <f>HYPERLINK("https://pbs.twimg.com/profile_images/1070092226687066112/zrT6Hg-y.jpg","View")</f>
        <v>View</v>
      </c>
    </row>
    <row r="1498" spans="1:21" ht="51">
      <c r="A1498" s="6">
        <v>43439.632881944446</v>
      </c>
      <c r="B1498" s="7" t="str">
        <f>HYPERLINK("https://twitter.com/soldnoctis","@soldnoctis")</f>
        <v>@soldnoctis</v>
      </c>
      <c r="C1498" s="8" t="s">
        <v>5347</v>
      </c>
      <c r="D1498" s="9" t="s">
        <v>5348</v>
      </c>
      <c r="E1498" s="10" t="str">
        <f>HYPERLINK("https://twitter.com/soldnoctis/status/1070319722154070016","1070319722154070016")</f>
        <v>1070319722154070016</v>
      </c>
      <c r="F1498" s="11"/>
      <c r="G1498" s="11"/>
      <c r="H1498" s="11"/>
      <c r="I1498" s="12">
        <v>1</v>
      </c>
      <c r="J1498" s="12">
        <v>0</v>
      </c>
      <c r="K1498" s="13" t="str">
        <f t="shared" si="341"/>
        <v>Twitter for Android</v>
      </c>
      <c r="L1498" s="12">
        <v>4</v>
      </c>
      <c r="M1498" s="12">
        <v>7</v>
      </c>
      <c r="N1498" s="12">
        <v>0</v>
      </c>
      <c r="O1498" s="14"/>
      <c r="P1498" s="6">
        <v>43422.831585648149</v>
      </c>
      <c r="Q1498" s="11"/>
      <c r="R1498" s="18"/>
      <c r="S1498" s="11"/>
      <c r="T1498" s="11"/>
      <c r="U1498" s="10" t="str">
        <f>HYPERLINK("https://pbs.twimg.com/profile_images/1067155324967227392/4CSq7UO6.jpg","View")</f>
        <v>View</v>
      </c>
    </row>
    <row r="1499" spans="1:21" ht="40.799999999999997">
      <c r="A1499" s="6">
        <v>43439.632627314815</v>
      </c>
      <c r="B1499" s="7" t="str">
        <f>HYPERLINK("https://twitter.com/alexsandra_sanv","@alexsandra_sanv")</f>
        <v>@alexsandra_sanv</v>
      </c>
      <c r="C1499" s="8" t="s">
        <v>5349</v>
      </c>
      <c r="D1499" s="9" t="s">
        <v>5350</v>
      </c>
      <c r="E1499" s="10" t="str">
        <f>HYPERLINK("https://twitter.com/alexsandra_sanv/status/1070319625894805504","1070319625894805504")</f>
        <v>1070319625894805504</v>
      </c>
      <c r="F1499" s="16" t="s">
        <v>5351</v>
      </c>
      <c r="G1499" s="11"/>
      <c r="H1499" s="11"/>
      <c r="I1499" s="12">
        <v>4</v>
      </c>
      <c r="J1499" s="12">
        <v>2</v>
      </c>
      <c r="K1499" s="13" t="str">
        <f t="shared" si="341"/>
        <v>Twitter for Android</v>
      </c>
      <c r="L1499" s="12">
        <v>1980</v>
      </c>
      <c r="M1499" s="12">
        <v>2285</v>
      </c>
      <c r="N1499" s="12">
        <v>16</v>
      </c>
      <c r="O1499" s="14"/>
      <c r="P1499" s="6">
        <v>42576.844733796301</v>
      </c>
      <c r="Q1499" s="15" t="s">
        <v>5352</v>
      </c>
      <c r="R1499" s="17" t="s">
        <v>5353</v>
      </c>
      <c r="S1499" s="16" t="s">
        <v>5354</v>
      </c>
      <c r="T1499" s="11"/>
      <c r="U1499" s="10" t="str">
        <f>HYPERLINK("https://pbs.twimg.com/profile_images/858101955964653569/P_t2PkPu.jpg","View")</f>
        <v>View</v>
      </c>
    </row>
    <row r="1500" spans="1:21" ht="30.6">
      <c r="A1500" s="6">
        <v>43439.630729166667</v>
      </c>
      <c r="B1500" s="7" t="str">
        <f>HYPERLINK("https://twitter.com/LUISPlTTON","@LUISPlTTON")</f>
        <v>@LUISPlTTON</v>
      </c>
      <c r="C1500" s="8" t="s">
        <v>5355</v>
      </c>
      <c r="D1500" s="9" t="s">
        <v>5356</v>
      </c>
      <c r="E1500" s="10" t="str">
        <f>HYPERLINK("https://twitter.com/LUISPlTTON/status/1070318938028941312","1070318938028941312")</f>
        <v>1070318938028941312</v>
      </c>
      <c r="F1500" s="16" t="s">
        <v>5357</v>
      </c>
      <c r="G1500" s="11"/>
      <c r="H1500" s="11"/>
      <c r="I1500" s="12">
        <v>1</v>
      </c>
      <c r="J1500" s="12">
        <v>5</v>
      </c>
      <c r="K1500" s="13" t="str">
        <f>HYPERLINK("https://curiouscat.me","Curious Cat")</f>
        <v>Curious Cat</v>
      </c>
      <c r="L1500" s="12">
        <v>4013</v>
      </c>
      <c r="M1500" s="12">
        <v>276</v>
      </c>
      <c r="N1500" s="12">
        <v>18</v>
      </c>
      <c r="O1500" s="14"/>
      <c r="P1500" s="6">
        <v>41863.971377314811</v>
      </c>
      <c r="Q1500" s="15" t="s">
        <v>5358</v>
      </c>
      <c r="R1500" s="17" t="s">
        <v>5359</v>
      </c>
      <c r="S1500" s="16" t="s">
        <v>5360</v>
      </c>
      <c r="T1500" s="11"/>
      <c r="U1500" s="10" t="str">
        <f>HYPERLINK("https://pbs.twimg.com/profile_images/1051333686837301250/5GMjGO5R.jpg","View")</f>
        <v>View</v>
      </c>
    </row>
    <row r="1501" spans="1:21" ht="51">
      <c r="A1501" s="6">
        <v>43439.629027777773</v>
      </c>
      <c r="B1501" s="7" t="str">
        <f>HYPERLINK("https://twitter.com/MarleneDiafano","@MarleneDiafano")</f>
        <v>@MarleneDiafano</v>
      </c>
      <c r="C1501" s="8" t="s">
        <v>5361</v>
      </c>
      <c r="D1501" s="9" t="s">
        <v>5362</v>
      </c>
      <c r="E1501" s="10" t="str">
        <f>HYPERLINK("https://twitter.com/MarleneDiafano/status/1070318323009761280","1070318323009761280")</f>
        <v>1070318323009761280</v>
      </c>
      <c r="F1501" s="16" t="s">
        <v>4965</v>
      </c>
      <c r="G1501" s="11"/>
      <c r="H1501" s="11"/>
      <c r="I1501" s="12">
        <v>34</v>
      </c>
      <c r="J1501" s="12">
        <v>45</v>
      </c>
      <c r="K1501" s="13" t="str">
        <f>HYPERLINK("http://twitter.com/download/android","Twitter for Android")</f>
        <v>Twitter for Android</v>
      </c>
      <c r="L1501" s="12">
        <v>7667</v>
      </c>
      <c r="M1501" s="12">
        <v>6456</v>
      </c>
      <c r="N1501" s="12">
        <v>8</v>
      </c>
      <c r="O1501" s="14"/>
      <c r="P1501" s="6">
        <v>43014.941134259258</v>
      </c>
      <c r="Q1501" s="15" t="s">
        <v>185</v>
      </c>
      <c r="R1501" s="17" t="s">
        <v>5363</v>
      </c>
      <c r="S1501" s="11"/>
      <c r="T1501" s="11"/>
      <c r="U1501" s="10" t="str">
        <f>HYPERLINK("https://pbs.twimg.com/profile_images/1055541042487984128/gM3eqjFo.jpg","View")</f>
        <v>View</v>
      </c>
    </row>
    <row r="1502" spans="1:21" ht="20.399999999999999">
      <c r="A1502" s="6">
        <v>43439.628645833334</v>
      </c>
      <c r="B1502" s="7" t="str">
        <f>HYPERLINK("https://twitter.com/daniel_portero","@daniel_portero")</f>
        <v>@daniel_portero</v>
      </c>
      <c r="C1502" s="8" t="s">
        <v>2799</v>
      </c>
      <c r="D1502" s="9" t="s">
        <v>5364</v>
      </c>
      <c r="E1502" s="10" t="str">
        <f>HYPERLINK("https://twitter.com/daniel_portero/status/1070318185344319492","1070318185344319492")</f>
        <v>1070318185344319492</v>
      </c>
      <c r="F1502" s="16" t="s">
        <v>778</v>
      </c>
      <c r="G1502" s="11"/>
      <c r="H1502" s="11"/>
      <c r="I1502" s="12">
        <v>45</v>
      </c>
      <c r="J1502" s="12">
        <v>51</v>
      </c>
      <c r="K1502" s="13" t="str">
        <f>HYPERLINK("http://twitter.com/download/iphone","Twitter for iPhone")</f>
        <v>Twitter for iPhone</v>
      </c>
      <c r="L1502" s="12">
        <v>5731</v>
      </c>
      <c r="M1502" s="12">
        <v>3373</v>
      </c>
      <c r="N1502" s="12">
        <v>54</v>
      </c>
      <c r="O1502" s="14"/>
      <c r="P1502" s="6">
        <v>41615.439062500001</v>
      </c>
      <c r="Q1502" s="15" t="s">
        <v>197</v>
      </c>
      <c r="R1502" s="17" t="s">
        <v>2801</v>
      </c>
      <c r="S1502" s="11"/>
      <c r="T1502" s="11"/>
      <c r="U1502" s="10" t="str">
        <f>HYPERLINK("https://pbs.twimg.com/profile_images/1039242796669054977/tn7yZf3o.jpg","View")</f>
        <v>View</v>
      </c>
    </row>
    <row r="1503" spans="1:21" ht="20.399999999999999">
      <c r="A1503" s="6">
        <v>43439.627314814818</v>
      </c>
      <c r="B1503" s="7" t="str">
        <f>HYPERLINK("https://twitter.com/VoxChiclana","@VoxChiclana")</f>
        <v>@VoxChiclana</v>
      </c>
      <c r="C1503" s="8" t="s">
        <v>5365</v>
      </c>
      <c r="D1503" s="9" t="s">
        <v>5366</v>
      </c>
      <c r="E1503" s="10" t="str">
        <f>HYPERLINK("https://twitter.com/VoxChiclana/status/1070317704576491520","1070317704576491520")</f>
        <v>1070317704576491520</v>
      </c>
      <c r="F1503" s="16" t="s">
        <v>772</v>
      </c>
      <c r="G1503" s="11"/>
      <c r="H1503" s="11"/>
      <c r="I1503" s="12">
        <v>1</v>
      </c>
      <c r="J1503" s="12">
        <v>3</v>
      </c>
      <c r="K1503" s="13" t="str">
        <f t="shared" ref="K1503:K1504" si="342">HYPERLINK("http://twitter.com","Twitter Web Client")</f>
        <v>Twitter Web Client</v>
      </c>
      <c r="L1503" s="12">
        <v>308</v>
      </c>
      <c r="M1503" s="12">
        <v>368</v>
      </c>
      <c r="N1503" s="12">
        <v>0</v>
      </c>
      <c r="O1503" s="14"/>
      <c r="P1503" s="6">
        <v>43374.526516203703</v>
      </c>
      <c r="Q1503" s="11"/>
      <c r="R1503" s="17" t="s">
        <v>5367</v>
      </c>
      <c r="S1503" s="11"/>
      <c r="T1503" s="11"/>
      <c r="U1503" s="10" t="str">
        <f>HYPERLINK("https://pbs.twimg.com/profile_images/1070735392662532096/LgdVBKgg.jpg","View")</f>
        <v>View</v>
      </c>
    </row>
    <row r="1504" spans="1:21" ht="61.2">
      <c r="A1504" s="6">
        <v>43439.62699074074</v>
      </c>
      <c r="B1504" s="7" t="str">
        <f>HYPERLINK("https://twitter.com/Marcarju","@Marcarju")</f>
        <v>@Marcarju</v>
      </c>
      <c r="C1504" s="8" t="s">
        <v>5368</v>
      </c>
      <c r="D1504" s="9" t="s">
        <v>5369</v>
      </c>
      <c r="E1504" s="10" t="str">
        <f>HYPERLINK("https://twitter.com/Marcarju/status/1070317583142961153","1070317583142961153")</f>
        <v>1070317583142961153</v>
      </c>
      <c r="F1504" s="16" t="s">
        <v>5370</v>
      </c>
      <c r="G1504" s="11"/>
      <c r="H1504" s="11"/>
      <c r="I1504" s="12">
        <v>0</v>
      </c>
      <c r="J1504" s="12">
        <v>0</v>
      </c>
      <c r="K1504" s="13" t="str">
        <f t="shared" si="342"/>
        <v>Twitter Web Client</v>
      </c>
      <c r="L1504" s="12">
        <v>382</v>
      </c>
      <c r="M1504" s="12">
        <v>653</v>
      </c>
      <c r="N1504" s="12">
        <v>0</v>
      </c>
      <c r="O1504" s="14"/>
      <c r="P1504" s="6">
        <v>41317.9996412037</v>
      </c>
      <c r="Q1504" s="15" t="s">
        <v>185</v>
      </c>
      <c r="R1504" s="17" t="s">
        <v>5371</v>
      </c>
      <c r="S1504" s="11"/>
      <c r="T1504" s="11"/>
      <c r="U1504" s="10" t="str">
        <f>HYPERLINK("https://pbs.twimg.com/profile_images/1037615820581601281/aAE0sbH9.jpg","View")</f>
        <v>View</v>
      </c>
    </row>
    <row r="1505" spans="1:21" ht="61.2">
      <c r="A1505" s="6">
        <v>43439.626828703702</v>
      </c>
      <c r="B1505" s="7" t="str">
        <f>HYPERLINK("https://twitter.com/PaulaJauregui2","@PaulaJauregui2")</f>
        <v>@PaulaJauregui2</v>
      </c>
      <c r="C1505" s="8" t="s">
        <v>5372</v>
      </c>
      <c r="D1505" s="9" t="s">
        <v>5373</v>
      </c>
      <c r="E1505" s="10" t="str">
        <f>HYPERLINK("https://twitter.com/PaulaJauregui2/status/1070317527018979329","1070317527018979329")</f>
        <v>1070317527018979329</v>
      </c>
      <c r="F1505" s="15" t="s">
        <v>5374</v>
      </c>
      <c r="G1505" s="16" t="s">
        <v>5375</v>
      </c>
      <c r="H1505" s="11"/>
      <c r="I1505" s="12">
        <v>2</v>
      </c>
      <c r="J1505" s="12">
        <v>0</v>
      </c>
      <c r="K1505" s="13" t="str">
        <f>HYPERLINK("http://twitter.com/download/iphone","Twitter for iPhone")</f>
        <v>Twitter for iPhone</v>
      </c>
      <c r="L1505" s="12">
        <v>934</v>
      </c>
      <c r="M1505" s="12">
        <v>771</v>
      </c>
      <c r="N1505" s="12">
        <v>4</v>
      </c>
      <c r="O1505" s="14"/>
      <c r="P1505" s="6">
        <v>40812.590729166666</v>
      </c>
      <c r="Q1505" s="15" t="s">
        <v>27</v>
      </c>
      <c r="R1505" s="17" t="s">
        <v>5376</v>
      </c>
      <c r="S1505" s="16" t="s">
        <v>5377</v>
      </c>
      <c r="T1505" s="11"/>
      <c r="U1505" s="10" t="str">
        <f>HYPERLINK("https://pbs.twimg.com/profile_images/1071030991504977922/j-5_ZkcN.jpg","View")</f>
        <v>View</v>
      </c>
    </row>
    <row r="1506" spans="1:21" ht="51">
      <c r="A1506" s="6">
        <v>43439.626388888893</v>
      </c>
      <c r="B1506" s="7" t="str">
        <f t="shared" ref="B1506:B1507" si="343">HYPERLINK("https://twitter.com/bitMomentum","@bitMomentum")</f>
        <v>@bitMomentum</v>
      </c>
      <c r="C1506" s="8" t="s">
        <v>82</v>
      </c>
      <c r="D1506" s="9" t="s">
        <v>5378</v>
      </c>
      <c r="E1506" s="10" t="str">
        <f>HYPERLINK("https://twitter.com/bitMomentum/status/1070317365760548864","1070317365760548864")</f>
        <v>1070317365760548864</v>
      </c>
      <c r="F1506" s="11"/>
      <c r="G1506" s="11"/>
      <c r="H1506" s="11"/>
      <c r="I1506" s="12">
        <v>0</v>
      </c>
      <c r="J1506" s="12">
        <v>0</v>
      </c>
      <c r="K1506" s="13" t="str">
        <f t="shared" ref="K1506:K1507" si="344">HYPERLINK("http://www.bitmomentum.com","bitMomentum Bot")</f>
        <v>bitMomentum Bot</v>
      </c>
      <c r="L1506" s="12">
        <v>10253</v>
      </c>
      <c r="M1506" s="12">
        <v>1059</v>
      </c>
      <c r="N1506" s="12">
        <v>263</v>
      </c>
      <c r="O1506" s="14"/>
      <c r="P1506" s="6">
        <v>41608.667511574073</v>
      </c>
      <c r="Q1506" s="11"/>
      <c r="R1506" s="17" t="s">
        <v>84</v>
      </c>
      <c r="S1506" s="16" t="s">
        <v>85</v>
      </c>
      <c r="T1506" s="11"/>
      <c r="U1506" s="10" t="str">
        <f t="shared" ref="U1506:U1507" si="345">HYPERLINK("https://pbs.twimg.com/profile_images/378800000862185241/20ij2H3u.png","View")</f>
        <v>View</v>
      </c>
    </row>
    <row r="1507" spans="1:21" ht="51">
      <c r="A1507" s="6">
        <v>43439.625694444447</v>
      </c>
      <c r="B1507" s="7" t="str">
        <f t="shared" si="343"/>
        <v>@bitMomentum</v>
      </c>
      <c r="C1507" s="8" t="s">
        <v>82</v>
      </c>
      <c r="D1507" s="9" t="s">
        <v>5379</v>
      </c>
      <c r="E1507" s="10" t="str">
        <f>HYPERLINK("https://twitter.com/bitMomentum/status/1070317114140041216","1070317114140041216")</f>
        <v>1070317114140041216</v>
      </c>
      <c r="F1507" s="11"/>
      <c r="G1507" s="11"/>
      <c r="H1507" s="11"/>
      <c r="I1507" s="12">
        <v>0</v>
      </c>
      <c r="J1507" s="12">
        <v>0</v>
      </c>
      <c r="K1507" s="13" t="str">
        <f t="shared" si="344"/>
        <v>bitMomentum Bot</v>
      </c>
      <c r="L1507" s="12">
        <v>10253</v>
      </c>
      <c r="M1507" s="12">
        <v>1059</v>
      </c>
      <c r="N1507" s="12">
        <v>263</v>
      </c>
      <c r="O1507" s="14"/>
      <c r="P1507" s="6">
        <v>41608.667511574073</v>
      </c>
      <c r="Q1507" s="11"/>
      <c r="R1507" s="17" t="s">
        <v>84</v>
      </c>
      <c r="S1507" s="16" t="s">
        <v>85</v>
      </c>
      <c r="T1507" s="11"/>
      <c r="U1507" s="10" t="str">
        <f t="shared" si="345"/>
        <v>View</v>
      </c>
    </row>
    <row r="1508" spans="1:21" ht="40.799999999999997">
      <c r="A1508" s="6">
        <v>43439.623206018514</v>
      </c>
      <c r="B1508" s="7" t="str">
        <f>HYPERLINK("https://twitter.com/FonsiLoaiza","@FonsiLoaiza")</f>
        <v>@FonsiLoaiza</v>
      </c>
      <c r="C1508" s="8" t="s">
        <v>5380</v>
      </c>
      <c r="D1508" s="9" t="s">
        <v>5381</v>
      </c>
      <c r="E1508" s="10" t="str">
        <f>HYPERLINK("https://twitter.com/FonsiLoaiza/status/1070316214273089536","1070316214273089536")</f>
        <v>1070316214273089536</v>
      </c>
      <c r="F1508" s="16" t="s">
        <v>5351</v>
      </c>
      <c r="G1508" s="16" t="s">
        <v>5382</v>
      </c>
      <c r="H1508" s="11"/>
      <c r="I1508" s="12">
        <v>183</v>
      </c>
      <c r="J1508" s="12">
        <v>202</v>
      </c>
      <c r="K1508" s="13" t="str">
        <f>HYPERLINK("http://twitter.com/download/android","Twitter for Android")</f>
        <v>Twitter for Android</v>
      </c>
      <c r="L1508" s="12">
        <v>72302</v>
      </c>
      <c r="M1508" s="12">
        <v>624</v>
      </c>
      <c r="N1508" s="12">
        <v>926</v>
      </c>
      <c r="O1508" s="14"/>
      <c r="P1508" s="6">
        <v>40150.58693287037</v>
      </c>
      <c r="Q1508" s="15" t="s">
        <v>5383</v>
      </c>
      <c r="R1508" s="17" t="s">
        <v>5384</v>
      </c>
      <c r="S1508" s="16" t="s">
        <v>5385</v>
      </c>
      <c r="T1508" s="11"/>
      <c r="U1508" s="10" t="str">
        <f>HYPERLINK("https://pbs.twimg.com/profile_images/930258451699257345/vdmlh85_.jpg","View")</f>
        <v>View</v>
      </c>
    </row>
    <row r="1509" spans="1:21" ht="51">
      <c r="A1509" s="6">
        <v>43439.622974537036</v>
      </c>
      <c r="B1509" s="7" t="str">
        <f>HYPERLINK("https://twitter.com/jmsalvade","@jmsalvade")</f>
        <v>@jmsalvade</v>
      </c>
      <c r="C1509" s="8" t="s">
        <v>66</v>
      </c>
      <c r="D1509" s="9" t="s">
        <v>5386</v>
      </c>
      <c r="E1509" s="10" t="str">
        <f>HYPERLINK("https://twitter.com/jmsalvade/status/1070316129023856640","1070316129023856640")</f>
        <v>1070316129023856640</v>
      </c>
      <c r="F1509" s="16" t="s">
        <v>5387</v>
      </c>
      <c r="G1509" s="11"/>
      <c r="H1509" s="11"/>
      <c r="I1509" s="12">
        <v>0</v>
      </c>
      <c r="J1509" s="12">
        <v>2</v>
      </c>
      <c r="K1509" s="13" t="str">
        <f>HYPERLINK("http://twitter.com/download/iphone","Twitter for iPhone")</f>
        <v>Twitter for iPhone</v>
      </c>
      <c r="L1509" s="12">
        <v>362</v>
      </c>
      <c r="M1509" s="12">
        <v>695</v>
      </c>
      <c r="N1509" s="12">
        <v>15</v>
      </c>
      <c r="O1509" s="14"/>
      <c r="P1509" s="6">
        <v>41260.869745370372</v>
      </c>
      <c r="Q1509" s="11"/>
      <c r="R1509" s="17" t="s">
        <v>70</v>
      </c>
      <c r="S1509" s="16" t="s">
        <v>71</v>
      </c>
      <c r="T1509" s="11"/>
      <c r="U1509" s="10" t="str">
        <f>HYPERLINK("https://pbs.twimg.com/profile_images/455739214663917568/tdXuqCOx.jpeg","View")</f>
        <v>View</v>
      </c>
    </row>
    <row r="1510" spans="1:21" ht="81.599999999999994">
      <c r="A1510" s="6">
        <v>43439.617673611108</v>
      </c>
      <c r="B1510" s="7" t="str">
        <f>HYPERLINK("https://twitter.com/BrunoFerTer","@BrunoFerTer")</f>
        <v>@BrunoFerTer</v>
      </c>
      <c r="C1510" s="8" t="s">
        <v>5388</v>
      </c>
      <c r="D1510" s="9" t="s">
        <v>5389</v>
      </c>
      <c r="E1510" s="10" t="str">
        <f>HYPERLINK("https://twitter.com/BrunoFerTer/status/1070314206799507462","1070314206799507462")</f>
        <v>1070314206799507462</v>
      </c>
      <c r="F1510" s="15" t="s">
        <v>5390</v>
      </c>
      <c r="G1510" s="11"/>
      <c r="H1510" s="11"/>
      <c r="I1510" s="12">
        <v>0</v>
      </c>
      <c r="J1510" s="12">
        <v>0</v>
      </c>
      <c r="K1510" s="13" t="str">
        <f>HYPERLINK("http://twitter.com","Twitter Web Client")</f>
        <v>Twitter Web Client</v>
      </c>
      <c r="L1510" s="12">
        <v>978</v>
      </c>
      <c r="M1510" s="12">
        <v>1568</v>
      </c>
      <c r="N1510" s="12">
        <v>17</v>
      </c>
      <c r="O1510" s="14"/>
      <c r="P1510" s="6">
        <v>40392.083784722221</v>
      </c>
      <c r="Q1510" s="15" t="s">
        <v>676</v>
      </c>
      <c r="R1510" s="17" t="s">
        <v>5391</v>
      </c>
      <c r="S1510" s="16" t="s">
        <v>5392</v>
      </c>
      <c r="T1510" s="11"/>
      <c r="U1510" s="10" t="str">
        <f>HYPERLINK("https://pbs.twimg.com/profile_images/1024608576034271232/uktGJ9o4.jpg","View")</f>
        <v>View</v>
      </c>
    </row>
    <row r="1511" spans="1:21" ht="51">
      <c r="A1511" s="6">
        <v>43439.617361111115</v>
      </c>
      <c r="B1511" s="7" t="str">
        <f>HYPERLINK("https://twitter.com/psolidaridad","@psolidaridad")</f>
        <v>@psolidaridad</v>
      </c>
      <c r="C1511" s="8" t="s">
        <v>159</v>
      </c>
      <c r="D1511" s="9" t="s">
        <v>5393</v>
      </c>
      <c r="E1511" s="10" t="str">
        <f>HYPERLINK("https://twitter.com/psolidaridad/status/1070314095172378624","1070314095172378624")</f>
        <v>1070314095172378624</v>
      </c>
      <c r="F1511" s="16" t="s">
        <v>5394</v>
      </c>
      <c r="G1511" s="11"/>
      <c r="H1511" s="11"/>
      <c r="I1511" s="12">
        <v>4</v>
      </c>
      <c r="J1511" s="12">
        <v>3</v>
      </c>
      <c r="K1511" s="13" t="str">
        <f>HYPERLINK("http://twitter.com/download/android","Twitter for Android")</f>
        <v>Twitter for Android</v>
      </c>
      <c r="L1511" s="12">
        <v>1623</v>
      </c>
      <c r="M1511" s="12">
        <v>4841</v>
      </c>
      <c r="N1511" s="12">
        <v>1</v>
      </c>
      <c r="O1511" s="14"/>
      <c r="P1511" s="6">
        <v>41803.502372685187</v>
      </c>
      <c r="Q1511" s="11"/>
      <c r="R1511" s="17" t="s">
        <v>162</v>
      </c>
      <c r="S1511" s="11"/>
      <c r="T1511" s="11"/>
      <c r="U1511" s="10" t="str">
        <f>HYPERLINK("https://pbs.twimg.com/profile_images/1030394358397317120/oQ0F2vnz.jpg","View")</f>
        <v>View</v>
      </c>
    </row>
    <row r="1512" spans="1:21" ht="51">
      <c r="A1512" s="6">
        <v>43439.617118055554</v>
      </c>
      <c r="B1512" s="7" t="str">
        <f>HYPERLINK("https://twitter.com/OdJordi","@OdJordi")</f>
        <v>@OdJordi</v>
      </c>
      <c r="C1512" s="8" t="s">
        <v>5395</v>
      </c>
      <c r="D1512" s="9" t="s">
        <v>5396</v>
      </c>
      <c r="E1512" s="10" t="str">
        <f>HYPERLINK("https://twitter.com/OdJordi/status/1070314005686878208","1070314005686878208")</f>
        <v>1070314005686878208</v>
      </c>
      <c r="F1512" s="15" t="s">
        <v>5397</v>
      </c>
      <c r="G1512" s="11"/>
      <c r="H1512" s="11"/>
      <c r="I1512" s="12">
        <v>0</v>
      </c>
      <c r="J1512" s="12">
        <v>0</v>
      </c>
      <c r="K1512" s="13" t="str">
        <f t="shared" ref="K1512:K1513" si="346">HYPERLINK("http://twitter.com/download/iphone","Twitter for iPhone")</f>
        <v>Twitter for iPhone</v>
      </c>
      <c r="L1512" s="12">
        <v>137</v>
      </c>
      <c r="M1512" s="12">
        <v>349</v>
      </c>
      <c r="N1512" s="12">
        <v>1</v>
      </c>
      <c r="O1512" s="14"/>
      <c r="P1512" s="6">
        <v>43364.784398148149</v>
      </c>
      <c r="Q1512" s="15" t="s">
        <v>5398</v>
      </c>
      <c r="R1512" s="17" t="s">
        <v>5399</v>
      </c>
      <c r="S1512" s="11"/>
      <c r="T1512" s="11"/>
      <c r="U1512" s="10" t="str">
        <f>HYPERLINK("https://pbs.twimg.com/profile_images/1051850895523278848/MJfJWY0y.jpg","View")</f>
        <v>View</v>
      </c>
    </row>
    <row r="1513" spans="1:21" ht="51">
      <c r="A1513" s="6">
        <v>43439.616296296299</v>
      </c>
      <c r="B1513" s="7" t="str">
        <f>HYPERLINK("https://twitter.com/AntonioLacasa2","@AntonioLacasa2")</f>
        <v>@AntonioLacasa2</v>
      </c>
      <c r="C1513" s="8" t="s">
        <v>5400</v>
      </c>
      <c r="D1513" s="9" t="s">
        <v>5401</v>
      </c>
      <c r="E1513" s="10" t="str">
        <f>HYPERLINK("https://twitter.com/AntonioLacasa2/status/1070313707622817793","1070313707622817793")</f>
        <v>1070313707622817793</v>
      </c>
      <c r="F1513" s="11"/>
      <c r="G1513" s="11"/>
      <c r="H1513" s="11"/>
      <c r="I1513" s="12">
        <v>0</v>
      </c>
      <c r="J1513" s="12">
        <v>0</v>
      </c>
      <c r="K1513" s="13" t="str">
        <f t="shared" si="346"/>
        <v>Twitter for iPhone</v>
      </c>
      <c r="L1513" s="12">
        <v>10</v>
      </c>
      <c r="M1513" s="12">
        <v>20</v>
      </c>
      <c r="N1513" s="12">
        <v>0</v>
      </c>
      <c r="O1513" s="14"/>
      <c r="P1513" s="6">
        <v>43433.766064814816</v>
      </c>
      <c r="Q1513" s="15" t="s">
        <v>4692</v>
      </c>
      <c r="R1513" s="17" t="s">
        <v>5402</v>
      </c>
      <c r="S1513" s="11"/>
      <c r="T1513" s="11"/>
      <c r="U1513" s="10" t="str">
        <f>HYPERLINK("https://pbs.twimg.com/profile_images/1069736164230381569/gX48CSCR.jpg","View")</f>
        <v>View</v>
      </c>
    </row>
    <row r="1514" spans="1:21" ht="40.799999999999997">
      <c r="A1514" s="6">
        <v>43439.614583333328</v>
      </c>
      <c r="B1514" s="7" t="str">
        <f>HYPERLINK("https://twitter.com/euskaltelebista","@euskaltelebista")</f>
        <v>@euskaltelebista</v>
      </c>
      <c r="C1514" s="8" t="s">
        <v>527</v>
      </c>
      <c r="D1514" s="9" t="s">
        <v>5403</v>
      </c>
      <c r="E1514" s="10" t="str">
        <f>HYPERLINK("https://twitter.com/euskaltelebista/status/1070313088874934275","1070313088874934275")</f>
        <v>1070313088874934275</v>
      </c>
      <c r="F1514" s="16" t="s">
        <v>5404</v>
      </c>
      <c r="G1514" s="16" t="s">
        <v>5405</v>
      </c>
      <c r="H1514" s="11"/>
      <c r="I1514" s="12">
        <v>13</v>
      </c>
      <c r="J1514" s="12">
        <v>9</v>
      </c>
      <c r="K1514" s="13" t="str">
        <f>HYPERLINK("https://about.twitter.com/products/tweetdeck","TweetDeck")</f>
        <v>TweetDeck</v>
      </c>
      <c r="L1514" s="12">
        <v>31798</v>
      </c>
      <c r="M1514" s="12">
        <v>163</v>
      </c>
      <c r="N1514" s="12">
        <v>441</v>
      </c>
      <c r="O1514" s="23" t="s">
        <v>89</v>
      </c>
      <c r="P1514" s="6">
        <v>39953.496041666665</v>
      </c>
      <c r="Q1514" s="15" t="s">
        <v>531</v>
      </c>
      <c r="R1514" s="17" t="s">
        <v>532</v>
      </c>
      <c r="S1514" s="16" t="s">
        <v>533</v>
      </c>
      <c r="T1514" s="11"/>
      <c r="U1514" s="10" t="str">
        <f>HYPERLINK("https://pbs.twimg.com/profile_images/972030797053120513/TcDrfunb.jpg","View")</f>
        <v>View</v>
      </c>
    </row>
    <row r="1515" spans="1:21" ht="51">
      <c r="A1515" s="6">
        <v>43439.614120370374</v>
      </c>
      <c r="B1515" s="7" t="str">
        <f>HYPERLINK("https://twitter.com/voxnoticias_es","@voxnoticias_es")</f>
        <v>@voxnoticias_es</v>
      </c>
      <c r="C1515" s="8" t="s">
        <v>4522</v>
      </c>
      <c r="D1515" s="9" t="s">
        <v>5406</v>
      </c>
      <c r="E1515" s="10" t="str">
        <f>HYPERLINK("https://twitter.com/voxnoticias_es/status/1070312921060782080","1070312921060782080")</f>
        <v>1070312921060782080</v>
      </c>
      <c r="F1515" s="16" t="s">
        <v>4144</v>
      </c>
      <c r="G1515" s="11"/>
      <c r="H1515" s="11"/>
      <c r="I1515" s="12">
        <v>344</v>
      </c>
      <c r="J1515" s="12">
        <v>574</v>
      </c>
      <c r="K1515" s="13" t="str">
        <f>HYPERLINK("http://twitter.com/download/android","Twitter for Android")</f>
        <v>Twitter for Android</v>
      </c>
      <c r="L1515" s="12">
        <v>21631</v>
      </c>
      <c r="M1515" s="12">
        <v>2131</v>
      </c>
      <c r="N1515" s="12">
        <v>145</v>
      </c>
      <c r="O1515" s="14"/>
      <c r="P1515" s="6">
        <v>41687.875428240739</v>
      </c>
      <c r="Q1515" s="15" t="s">
        <v>4524</v>
      </c>
      <c r="R1515" s="17" t="s">
        <v>4525</v>
      </c>
      <c r="S1515" s="16" t="s">
        <v>4526</v>
      </c>
      <c r="T1515" s="11"/>
      <c r="U1515" s="10" t="str">
        <f>HYPERLINK("https://pbs.twimg.com/profile_images/900432165195980801/-2-6PzuU.jpg","View")</f>
        <v>View</v>
      </c>
    </row>
    <row r="1516" spans="1:21" ht="61.2">
      <c r="A1516" s="6">
        <v>43439.612557870365</v>
      </c>
      <c r="B1516" s="7" t="str">
        <f>HYPERLINK("https://twitter.com/Michelle20205","@Michelle20205")</f>
        <v>@Michelle20205</v>
      </c>
      <c r="C1516" s="8" t="s">
        <v>3791</v>
      </c>
      <c r="D1516" s="9" t="s">
        <v>5407</v>
      </c>
      <c r="E1516" s="10" t="str">
        <f>HYPERLINK("https://twitter.com/Michelle20205/status/1070312354347405313","1070312354347405313")</f>
        <v>1070312354347405313</v>
      </c>
      <c r="F1516" s="11"/>
      <c r="G1516" s="16" t="s">
        <v>5408</v>
      </c>
      <c r="H1516" s="11"/>
      <c r="I1516" s="12">
        <v>0</v>
      </c>
      <c r="J1516" s="12">
        <v>0</v>
      </c>
      <c r="K1516" s="13" t="str">
        <f t="shared" ref="K1516:K1517" si="347">HYPERLINK("http://twitter.com/download/iphone","Twitter for iPhone")</f>
        <v>Twitter for iPhone</v>
      </c>
      <c r="L1516" s="12">
        <v>34</v>
      </c>
      <c r="M1516" s="12">
        <v>129</v>
      </c>
      <c r="N1516" s="12">
        <v>1</v>
      </c>
      <c r="O1516" s="14"/>
      <c r="P1516" s="6">
        <v>42686.301840277782</v>
      </c>
      <c r="Q1516" s="15" t="s">
        <v>3794</v>
      </c>
      <c r="R1516" s="17" t="s">
        <v>3795</v>
      </c>
      <c r="S1516" s="11"/>
      <c r="T1516" s="11"/>
      <c r="U1516" s="10" t="str">
        <f>HYPERLINK("https://pbs.twimg.com/profile_images/1052315693851570178/l4DBkYDM.jpg","View")</f>
        <v>View</v>
      </c>
    </row>
    <row r="1517" spans="1:21" ht="30.6">
      <c r="A1517" s="6">
        <v>43439.610868055555</v>
      </c>
      <c r="B1517" s="7" t="str">
        <f>HYPERLINK("https://twitter.com/ustednoesyo","@ustednoesyo")</f>
        <v>@ustednoesyo</v>
      </c>
      <c r="C1517" s="8" t="s">
        <v>2898</v>
      </c>
      <c r="D1517" s="9" t="s">
        <v>5409</v>
      </c>
      <c r="E1517" s="10" t="str">
        <f>HYPERLINK("https://twitter.com/ustednoesyo/status/1070311740540444672","1070311740540444672")</f>
        <v>1070311740540444672</v>
      </c>
      <c r="F1517" s="11"/>
      <c r="G1517" s="11"/>
      <c r="H1517" s="11"/>
      <c r="I1517" s="12">
        <v>0</v>
      </c>
      <c r="J1517" s="12">
        <v>1</v>
      </c>
      <c r="K1517" s="13" t="str">
        <f t="shared" si="347"/>
        <v>Twitter for iPhone</v>
      </c>
      <c r="L1517" s="12">
        <v>6632</v>
      </c>
      <c r="M1517" s="12">
        <v>721</v>
      </c>
      <c r="N1517" s="12">
        <v>207</v>
      </c>
      <c r="O1517" s="14"/>
      <c r="P1517" s="6">
        <v>40582.047824074078</v>
      </c>
      <c r="Q1517" s="15" t="s">
        <v>2900</v>
      </c>
      <c r="R1517" s="17" t="s">
        <v>2901</v>
      </c>
      <c r="S1517" s="11"/>
      <c r="T1517" s="11"/>
      <c r="U1517" s="10" t="str">
        <f>HYPERLINK("https://pbs.twimg.com/profile_images/953244322538971137/SPC831FI.jpg","View")</f>
        <v>View</v>
      </c>
    </row>
    <row r="1518" spans="1:21" ht="20.399999999999999">
      <c r="A1518" s="6">
        <v>43439.60633101852</v>
      </c>
      <c r="B1518" s="7" t="str">
        <f>HYPERLINK("https://twitter.com/BALBONTINMARTA","@BALBONTINMARTA")</f>
        <v>@BALBONTINMARTA</v>
      </c>
      <c r="C1518" s="8" t="s">
        <v>5410</v>
      </c>
      <c r="D1518" s="9" t="s">
        <v>5411</v>
      </c>
      <c r="E1518" s="10" t="str">
        <f>HYPERLINK("https://twitter.com/BALBONTINMARTA/status/1070310099535708160","1070310099535708160")</f>
        <v>1070310099535708160</v>
      </c>
      <c r="F1518" s="11"/>
      <c r="G1518" s="11"/>
      <c r="H1518" s="11"/>
      <c r="I1518" s="12">
        <v>0</v>
      </c>
      <c r="J1518" s="12">
        <v>0</v>
      </c>
      <c r="K1518" s="13" t="str">
        <f t="shared" ref="K1518:K1519" si="348">HYPERLINK("http://twitter.com/download/android","Twitter for Android")</f>
        <v>Twitter for Android</v>
      </c>
      <c r="L1518" s="12">
        <v>255</v>
      </c>
      <c r="M1518" s="12">
        <v>252</v>
      </c>
      <c r="N1518" s="12">
        <v>1</v>
      </c>
      <c r="O1518" s="14"/>
      <c r="P1518" s="6">
        <v>40695.672638888893</v>
      </c>
      <c r="Q1518" s="15" t="s">
        <v>2080</v>
      </c>
      <c r="R1518" s="17" t="s">
        <v>5412</v>
      </c>
      <c r="S1518" s="11"/>
      <c r="T1518" s="11"/>
      <c r="U1518" s="10" t="str">
        <f>HYPERLINK("https://pbs.twimg.com/profile_images/1068153022562402308/LIQxPrv5.jpg","View")</f>
        <v>View</v>
      </c>
    </row>
    <row r="1519" spans="1:21" ht="20.399999999999999">
      <c r="A1519" s="6">
        <v>43439.604687500003</v>
      </c>
      <c r="B1519" s="7" t="str">
        <f>HYPERLINK("https://twitter.com/jmartinmontalba","@jmartinmontalba")</f>
        <v>@jmartinmontalba</v>
      </c>
      <c r="C1519" s="8" t="s">
        <v>5413</v>
      </c>
      <c r="D1519" s="9" t="s">
        <v>5414</v>
      </c>
      <c r="E1519" s="10" t="str">
        <f>HYPERLINK("https://twitter.com/jmartinmontalba/status/1070309504422690816","1070309504422690816")</f>
        <v>1070309504422690816</v>
      </c>
      <c r="F1519" s="11"/>
      <c r="G1519" s="11"/>
      <c r="H1519" s="11"/>
      <c r="I1519" s="12">
        <v>0</v>
      </c>
      <c r="J1519" s="12">
        <v>0</v>
      </c>
      <c r="K1519" s="13" t="str">
        <f t="shared" si="348"/>
        <v>Twitter for Android</v>
      </c>
      <c r="L1519" s="12">
        <v>1724</v>
      </c>
      <c r="M1519" s="12">
        <v>5001</v>
      </c>
      <c r="N1519" s="12">
        <v>15</v>
      </c>
      <c r="O1519" s="14"/>
      <c r="P1519" s="6">
        <v>42192.72934027778</v>
      </c>
      <c r="Q1519" s="15" t="s">
        <v>5415</v>
      </c>
      <c r="R1519" s="17" t="s">
        <v>5416</v>
      </c>
      <c r="S1519" s="11"/>
      <c r="T1519" s="11"/>
      <c r="U1519" s="10" t="str">
        <f>HYPERLINK("https://pbs.twimg.com/profile_images/928306802885873664/cd2vyUP3.jpg","View")</f>
        <v>View</v>
      </c>
    </row>
    <row r="1520" spans="1:21" ht="51">
      <c r="A1520" s="6">
        <v>43439.604166666672</v>
      </c>
      <c r="B1520" s="7" t="str">
        <f>HYPERLINK("https://twitter.com/indpcom","@indpcom")</f>
        <v>@indpcom</v>
      </c>
      <c r="C1520" s="8" t="s">
        <v>207</v>
      </c>
      <c r="D1520" s="9" t="s">
        <v>5417</v>
      </c>
      <c r="E1520" s="10" t="str">
        <f>HYPERLINK("https://twitter.com/indpcom/status/1070309313271422976","1070309313271422976")</f>
        <v>1070309313271422976</v>
      </c>
      <c r="F1520" s="16" t="s">
        <v>5418</v>
      </c>
      <c r="G1520" s="11"/>
      <c r="H1520" s="11"/>
      <c r="I1520" s="12">
        <v>17</v>
      </c>
      <c r="J1520" s="12">
        <v>24</v>
      </c>
      <c r="K1520" s="13" t="str">
        <f>HYPERLINK("https://about.twitter.com/products/tweetdeck","TweetDeck")</f>
        <v>TweetDeck</v>
      </c>
      <c r="L1520" s="12">
        <v>59371</v>
      </c>
      <c r="M1520" s="12">
        <v>1310</v>
      </c>
      <c r="N1520" s="12">
        <v>1116</v>
      </c>
      <c r="O1520" s="23" t="s">
        <v>89</v>
      </c>
      <c r="P1520" s="6">
        <v>42537.702719907407</v>
      </c>
      <c r="Q1520" s="15" t="s">
        <v>185</v>
      </c>
      <c r="R1520" s="17" t="s">
        <v>210</v>
      </c>
      <c r="S1520" s="16" t="s">
        <v>211</v>
      </c>
      <c r="T1520" s="11"/>
      <c r="U1520" s="10" t="str">
        <f>HYPERLINK("https://pbs.twimg.com/profile_images/773807977069420544/o4tNI4zQ.jpg","View")</f>
        <v>View</v>
      </c>
    </row>
    <row r="1521" spans="1:21" ht="30.6">
      <c r="A1521" s="6">
        <v>43439.602847222224</v>
      </c>
      <c r="B1521" s="7" t="str">
        <f>HYPERLINK("https://twitter.com/AniaListe","@AniaListe")</f>
        <v>@AniaListe</v>
      </c>
      <c r="C1521" s="8" t="s">
        <v>5419</v>
      </c>
      <c r="D1521" s="9" t="s">
        <v>5420</v>
      </c>
      <c r="E1521" s="10" t="str">
        <f>HYPERLINK("https://twitter.com/AniaListe/status/1070308835901009926","1070308835901009926")</f>
        <v>1070308835901009926</v>
      </c>
      <c r="F1521" s="11"/>
      <c r="G1521" s="11"/>
      <c r="H1521" s="11"/>
      <c r="I1521" s="12">
        <v>0</v>
      </c>
      <c r="J1521" s="12">
        <v>0</v>
      </c>
      <c r="K1521" s="13" t="str">
        <f>HYPERLINK("https://mobile.twitter.com","Twitter Lite")</f>
        <v>Twitter Lite</v>
      </c>
      <c r="L1521" s="12">
        <v>88</v>
      </c>
      <c r="M1521" s="12">
        <v>441</v>
      </c>
      <c r="N1521" s="12">
        <v>0</v>
      </c>
      <c r="O1521" s="14"/>
      <c r="P1521" s="6">
        <v>41298.556597222225</v>
      </c>
      <c r="Q1521" s="15" t="s">
        <v>5421</v>
      </c>
      <c r="R1521" s="17" t="s">
        <v>2068</v>
      </c>
      <c r="S1521" s="11"/>
      <c r="T1521" s="11"/>
      <c r="U1521" s="10" t="str">
        <f>HYPERLINK("https://pbs.twimg.com/profile_images/1042104377157328897/eNugEfBr.jpg","View")</f>
        <v>View</v>
      </c>
    </row>
    <row r="1522" spans="1:21" ht="30.6">
      <c r="A1522" s="6">
        <v>43439.600798611107</v>
      </c>
      <c r="B1522" s="7" t="str">
        <f>HYPERLINK("https://twitter.com/macias_prats","@macias_prats")</f>
        <v>@macias_prats</v>
      </c>
      <c r="C1522" s="8" t="s">
        <v>5422</v>
      </c>
      <c r="D1522" s="9" t="s">
        <v>5423</v>
      </c>
      <c r="E1522" s="10" t="str">
        <f>HYPERLINK("https://twitter.com/macias_prats/status/1070308095170093056","1070308095170093056")</f>
        <v>1070308095170093056</v>
      </c>
      <c r="F1522" s="11"/>
      <c r="G1522" s="11"/>
      <c r="H1522" s="11"/>
      <c r="I1522" s="12">
        <v>0</v>
      </c>
      <c r="J1522" s="12">
        <v>0</v>
      </c>
      <c r="K1522" s="13" t="str">
        <f t="shared" ref="K1522:K1524" si="349">HYPERLINK("http://twitter.com/download/android","Twitter for Android")</f>
        <v>Twitter for Android</v>
      </c>
      <c r="L1522" s="12">
        <v>269</v>
      </c>
      <c r="M1522" s="12">
        <v>187</v>
      </c>
      <c r="N1522" s="12">
        <v>0</v>
      </c>
      <c r="O1522" s="14"/>
      <c r="P1522" s="6">
        <v>41012.593703703707</v>
      </c>
      <c r="Q1522" s="15" t="s">
        <v>5424</v>
      </c>
      <c r="R1522" s="17" t="s">
        <v>5425</v>
      </c>
      <c r="S1522" s="16" t="s">
        <v>5426</v>
      </c>
      <c r="T1522" s="11"/>
      <c r="U1522" s="10" t="str">
        <f>HYPERLINK("https://pbs.twimg.com/profile_images/1047950900298469377/SUMosB9B.jpg","View")</f>
        <v>View</v>
      </c>
    </row>
    <row r="1523" spans="1:21" ht="30.6">
      <c r="A1523" s="6">
        <v>43439.600694444445</v>
      </c>
      <c r="B1523" s="7" t="str">
        <f>HYPERLINK("https://twitter.com/roendasy","@roendasy")</f>
        <v>@roendasy</v>
      </c>
      <c r="C1523" s="8" t="s">
        <v>5427</v>
      </c>
      <c r="D1523" s="9" t="s">
        <v>5428</v>
      </c>
      <c r="E1523" s="10" t="str">
        <f>HYPERLINK("https://twitter.com/roendasy/status/1070308054674104320","1070308054674104320")</f>
        <v>1070308054674104320</v>
      </c>
      <c r="F1523" s="16" t="s">
        <v>5429</v>
      </c>
      <c r="G1523" s="11"/>
      <c r="H1523" s="11"/>
      <c r="I1523" s="12">
        <v>0</v>
      </c>
      <c r="J1523" s="12">
        <v>0</v>
      </c>
      <c r="K1523" s="13" t="str">
        <f t="shared" si="349"/>
        <v>Twitter for Android</v>
      </c>
      <c r="L1523" s="12">
        <v>525</v>
      </c>
      <c r="M1523" s="12">
        <v>543</v>
      </c>
      <c r="N1523" s="12">
        <v>3</v>
      </c>
      <c r="O1523" s="14"/>
      <c r="P1523" s="6">
        <v>43011.542476851857</v>
      </c>
      <c r="Q1523" s="15" t="s">
        <v>5430</v>
      </c>
      <c r="R1523" s="17" t="s">
        <v>5431</v>
      </c>
      <c r="S1523" s="11"/>
      <c r="T1523" s="11"/>
      <c r="U1523" s="10" t="str">
        <f>HYPERLINK("https://pbs.twimg.com/profile_images/1046990161031180288/Drw_Sfjz.jpg","View")</f>
        <v>View</v>
      </c>
    </row>
    <row r="1524" spans="1:21" ht="40.799999999999997">
      <c r="A1524" s="6">
        <v>43439.600486111114</v>
      </c>
      <c r="B1524" s="7" t="str">
        <f>HYPERLINK("https://twitter.com/JaimeAstarloa","@JaimeAstarloa")</f>
        <v>@JaimeAstarloa</v>
      </c>
      <c r="C1524" s="8" t="s">
        <v>761</v>
      </c>
      <c r="D1524" s="9" t="s">
        <v>5432</v>
      </c>
      <c r="E1524" s="10" t="str">
        <f>HYPERLINK("https://twitter.com/JaimeAstarloa/status/1070307981634482176","1070307981634482176")</f>
        <v>1070307981634482176</v>
      </c>
      <c r="F1524" s="11"/>
      <c r="G1524" s="11"/>
      <c r="H1524" s="11"/>
      <c r="I1524" s="12">
        <v>0</v>
      </c>
      <c r="J1524" s="12">
        <v>0</v>
      </c>
      <c r="K1524" s="13" t="str">
        <f t="shared" si="349"/>
        <v>Twitter for Android</v>
      </c>
      <c r="L1524" s="12">
        <v>138</v>
      </c>
      <c r="M1524" s="12">
        <v>362</v>
      </c>
      <c r="N1524" s="12">
        <v>2</v>
      </c>
      <c r="O1524" s="14"/>
      <c r="P1524" s="6">
        <v>40489.04041666667</v>
      </c>
      <c r="Q1524" s="11"/>
      <c r="R1524" s="17" t="s">
        <v>765</v>
      </c>
      <c r="S1524" s="11"/>
      <c r="T1524" s="11"/>
      <c r="U1524" s="10" t="str">
        <f>HYPERLINK("https://pbs.twimg.com/profile_images/1366117287/haddock.jpeg","View")</f>
        <v>View</v>
      </c>
    </row>
    <row r="1525" spans="1:21" ht="51">
      <c r="A1525" s="6">
        <v>43439.600254629629</v>
      </c>
      <c r="B1525" s="7" t="str">
        <f>HYPERLINK("https://twitter.com/JuananHM95","@JuananHM95")</f>
        <v>@JuananHM95</v>
      </c>
      <c r="C1525" s="8" t="s">
        <v>5433</v>
      </c>
      <c r="D1525" s="9" t="s">
        <v>5434</v>
      </c>
      <c r="E1525" s="10" t="str">
        <f>HYPERLINK("https://twitter.com/JuananHM95/status/1070307895496065024","1070307895496065024")</f>
        <v>1070307895496065024</v>
      </c>
      <c r="F1525" s="11"/>
      <c r="G1525" s="11"/>
      <c r="H1525" s="11"/>
      <c r="I1525" s="12">
        <v>0</v>
      </c>
      <c r="J1525" s="12">
        <v>0</v>
      </c>
      <c r="K1525" s="13" t="str">
        <f>HYPERLINK("http://twitter.com","Twitter Web Client")</f>
        <v>Twitter Web Client</v>
      </c>
      <c r="L1525" s="12">
        <v>537</v>
      </c>
      <c r="M1525" s="12">
        <v>365</v>
      </c>
      <c r="N1525" s="12">
        <v>16</v>
      </c>
      <c r="O1525" s="14"/>
      <c r="P1525" s="6">
        <v>40487.934131944443</v>
      </c>
      <c r="Q1525" s="11"/>
      <c r="R1525" s="18"/>
      <c r="S1525" s="11"/>
      <c r="T1525" s="11"/>
      <c r="U1525" s="10" t="str">
        <f>HYPERLINK("https://pbs.twimg.com/profile_images/1025529414640197632/oTpaP6Q2.jpg","View")</f>
        <v>View</v>
      </c>
    </row>
    <row r="1526" spans="1:21" ht="30.6">
      <c r="A1526" s="6">
        <v>43439.600057870368</v>
      </c>
      <c r="B1526" s="7" t="str">
        <f>HYPERLINK("https://twitter.com/Atur200","@Atur200")</f>
        <v>@Atur200</v>
      </c>
      <c r="C1526" s="8" t="s">
        <v>5435</v>
      </c>
      <c r="D1526" s="9" t="s">
        <v>5436</v>
      </c>
      <c r="E1526" s="10" t="str">
        <f>HYPERLINK("https://twitter.com/Atur200/status/1070307824524255232","1070307824524255232")</f>
        <v>1070307824524255232</v>
      </c>
      <c r="F1526" s="11"/>
      <c r="G1526" s="11"/>
      <c r="H1526" s="11"/>
      <c r="I1526" s="12">
        <v>2</v>
      </c>
      <c r="J1526" s="12">
        <v>7</v>
      </c>
      <c r="K1526" s="13" t="str">
        <f>HYPERLINK("http://twitter.com/download/android","Twitter for Android")</f>
        <v>Twitter for Android</v>
      </c>
      <c r="L1526" s="12">
        <v>831</v>
      </c>
      <c r="M1526" s="12">
        <v>423</v>
      </c>
      <c r="N1526" s="12">
        <v>2</v>
      </c>
      <c r="O1526" s="14"/>
      <c r="P1526" s="6">
        <v>41798.844652777778</v>
      </c>
      <c r="Q1526" s="15" t="s">
        <v>612</v>
      </c>
      <c r="R1526" s="17" t="s">
        <v>5437</v>
      </c>
      <c r="S1526" s="11"/>
      <c r="T1526" s="11"/>
      <c r="U1526" s="10" t="str">
        <f>HYPERLINK("https://pbs.twimg.com/profile_images/1042500104459087877/pYkbnFuV.jpg","View")</f>
        <v>View</v>
      </c>
    </row>
    <row r="1527" spans="1:21" ht="51">
      <c r="A1527" s="6">
        <v>43439.598726851851</v>
      </c>
      <c r="B1527" s="7" t="str">
        <f>HYPERLINK("https://twitter.com/grbalmaseda","@grbalmaseda")</f>
        <v>@grbalmaseda</v>
      </c>
      <c r="C1527" s="8" t="s">
        <v>5438</v>
      </c>
      <c r="D1527" s="9" t="s">
        <v>5439</v>
      </c>
      <c r="E1527" s="10" t="str">
        <f>HYPERLINK("https://twitter.com/grbalmaseda/status/1070307344645586944","1070307344645586944")</f>
        <v>1070307344645586944</v>
      </c>
      <c r="F1527" s="11"/>
      <c r="G1527" s="11"/>
      <c r="H1527" s="11"/>
      <c r="I1527" s="12">
        <v>0</v>
      </c>
      <c r="J1527" s="12">
        <v>0</v>
      </c>
      <c r="K1527" s="13" t="str">
        <f>HYPERLINK("http://twitter.com/download/iphone","Twitter for iPhone")</f>
        <v>Twitter for iPhone</v>
      </c>
      <c r="L1527" s="12">
        <v>213</v>
      </c>
      <c r="M1527" s="12">
        <v>177</v>
      </c>
      <c r="N1527" s="12">
        <v>9</v>
      </c>
      <c r="O1527" s="14"/>
      <c r="P1527" s="6">
        <v>40797.556956018518</v>
      </c>
      <c r="Q1527" s="15" t="s">
        <v>157</v>
      </c>
      <c r="R1527" s="17" t="s">
        <v>5440</v>
      </c>
      <c r="S1527" s="16" t="s">
        <v>5441</v>
      </c>
      <c r="T1527" s="11"/>
      <c r="U1527" s="10" t="str">
        <f>HYPERLINK("https://pbs.twimg.com/profile_images/780903758389776384/Snbe3RfX.jpg","View")</f>
        <v>View</v>
      </c>
    </row>
    <row r="1528" spans="1:21" ht="61.2">
      <c r="A1528" s="6">
        <v>43439.598541666666</v>
      </c>
      <c r="B1528" s="7" t="str">
        <f>HYPERLINK("https://twitter.com/AuroraRocafort","@AuroraRocafort")</f>
        <v>@AuroraRocafort</v>
      </c>
      <c r="C1528" s="8" t="s">
        <v>5442</v>
      </c>
      <c r="D1528" s="9" t="s">
        <v>5443</v>
      </c>
      <c r="E1528" s="10" t="str">
        <f>HYPERLINK("https://twitter.com/AuroraRocafort/status/1070307275166924801","1070307275166924801")</f>
        <v>1070307275166924801</v>
      </c>
      <c r="F1528" s="11"/>
      <c r="G1528" s="11"/>
      <c r="H1528" s="11"/>
      <c r="I1528" s="12">
        <v>0</v>
      </c>
      <c r="J1528" s="12">
        <v>0</v>
      </c>
      <c r="K1528" s="13" t="str">
        <f>HYPERLINK("http://twitter.com","Twitter Web Client")</f>
        <v>Twitter Web Client</v>
      </c>
      <c r="L1528" s="12">
        <v>1429</v>
      </c>
      <c r="M1528" s="12">
        <v>1105</v>
      </c>
      <c r="N1528" s="12">
        <v>14</v>
      </c>
      <c r="O1528" s="14"/>
      <c r="P1528" s="6">
        <v>40613.52579861111</v>
      </c>
      <c r="Q1528" s="15" t="s">
        <v>5444</v>
      </c>
      <c r="R1528" s="17" t="s">
        <v>5445</v>
      </c>
      <c r="S1528" s="11"/>
      <c r="T1528" s="11"/>
      <c r="U1528" s="10" t="str">
        <f>HYPERLINK("https://pbs.twimg.com/profile_images/1297223526/__Manos_c_pesa_menos.jpg","View")</f>
        <v>View</v>
      </c>
    </row>
    <row r="1529" spans="1:21" ht="51">
      <c r="A1529" s="6">
        <v>43439.598240740743</v>
      </c>
      <c r="B1529" s="7" t="str">
        <f>HYPERLINK("https://twitter.com/artsoler","@artsoler")</f>
        <v>@artsoler</v>
      </c>
      <c r="C1529" s="8" t="s">
        <v>5446</v>
      </c>
      <c r="D1529" s="9" t="s">
        <v>5447</v>
      </c>
      <c r="E1529" s="10" t="str">
        <f>HYPERLINK("https://twitter.com/artsoler/status/1070307166911893504","1070307166911893504")</f>
        <v>1070307166911893504</v>
      </c>
      <c r="F1529" s="15" t="s">
        <v>5448</v>
      </c>
      <c r="G1529" s="16" t="s">
        <v>5449</v>
      </c>
      <c r="H1529" s="11"/>
      <c r="I1529" s="12">
        <v>0</v>
      </c>
      <c r="J1529" s="12">
        <v>0</v>
      </c>
      <c r="K1529" s="13" t="str">
        <f>HYPERLINK("http://twitter.com/download/android","Twitter for Android")</f>
        <v>Twitter for Android</v>
      </c>
      <c r="L1529" s="12">
        <v>110</v>
      </c>
      <c r="M1529" s="12">
        <v>453</v>
      </c>
      <c r="N1529" s="12">
        <v>2</v>
      </c>
      <c r="O1529" s="14"/>
      <c r="P1529" s="6">
        <v>40515.648831018516</v>
      </c>
      <c r="Q1529" s="15" t="s">
        <v>5450</v>
      </c>
      <c r="R1529" s="17" t="s">
        <v>5451</v>
      </c>
      <c r="S1529" s="11"/>
      <c r="T1529" s="11"/>
      <c r="U1529" s="10" t="str">
        <f>HYPERLINK("https://pbs.twimg.com/profile_images/785575605882515456/NAbqsORW.jpg","View")</f>
        <v>View</v>
      </c>
    </row>
    <row r="1530" spans="1:21" ht="81.599999999999994">
      <c r="A1530" s="6">
        <v>43439.597314814819</v>
      </c>
      <c r="B1530" s="7" t="str">
        <f>HYPERLINK("https://twitter.com/Lapuya2","@Lapuya2")</f>
        <v>@Lapuya2</v>
      </c>
      <c r="C1530" s="8" t="s">
        <v>5452</v>
      </c>
      <c r="D1530" s="9" t="s">
        <v>5453</v>
      </c>
      <c r="E1530" s="10" t="str">
        <f>HYPERLINK("https://twitter.com/Lapuya2/status/1070306832365862912","1070306832365862912")</f>
        <v>1070306832365862912</v>
      </c>
      <c r="F1530" s="16" t="s">
        <v>5454</v>
      </c>
      <c r="G1530" s="16" t="s">
        <v>5455</v>
      </c>
      <c r="H1530" s="11"/>
      <c r="I1530" s="12">
        <v>1</v>
      </c>
      <c r="J1530" s="12">
        <v>2</v>
      </c>
      <c r="K1530" s="13" t="str">
        <f t="shared" ref="K1530:K1532" si="350">HYPERLINK("http://twitter.com","Twitter Web Client")</f>
        <v>Twitter Web Client</v>
      </c>
      <c r="L1530" s="12">
        <v>19</v>
      </c>
      <c r="M1530" s="12">
        <v>62</v>
      </c>
      <c r="N1530" s="12">
        <v>0</v>
      </c>
      <c r="O1530" s="14"/>
      <c r="P1530" s="6">
        <v>43426.657222222224</v>
      </c>
      <c r="Q1530" s="11"/>
      <c r="R1530" s="17" t="s">
        <v>5456</v>
      </c>
      <c r="S1530" s="11"/>
      <c r="T1530" s="11"/>
      <c r="U1530" s="10" t="str">
        <f>HYPERLINK("https://pbs.twimg.com/profile_images/1065618632804364288/EfWgrp2W.jpg","View")</f>
        <v>View</v>
      </c>
    </row>
    <row r="1531" spans="1:21" ht="30.6">
      <c r="A1531" s="6">
        <v>43439.59710648148</v>
      </c>
      <c r="B1531" s="7" t="str">
        <f>HYPERLINK("https://twitter.com/Hydroaddiction","@Hydroaddiction")</f>
        <v>@Hydroaddiction</v>
      </c>
      <c r="C1531" s="8" t="s">
        <v>319</v>
      </c>
      <c r="D1531" s="9" t="s">
        <v>5457</v>
      </c>
      <c r="E1531" s="10" t="str">
        <f>HYPERLINK("https://twitter.com/Hydroaddiction/status/1070306755928829953","1070306755928829953")</f>
        <v>1070306755928829953</v>
      </c>
      <c r="F1531" s="11"/>
      <c r="G1531" s="11"/>
      <c r="H1531" s="11"/>
      <c r="I1531" s="12">
        <v>0</v>
      </c>
      <c r="J1531" s="12">
        <v>0</v>
      </c>
      <c r="K1531" s="13" t="str">
        <f t="shared" si="350"/>
        <v>Twitter Web Client</v>
      </c>
      <c r="L1531" s="12">
        <v>316</v>
      </c>
      <c r="M1531" s="12">
        <v>451</v>
      </c>
      <c r="N1531" s="12">
        <v>16</v>
      </c>
      <c r="O1531" s="14"/>
      <c r="P1531" s="6">
        <v>40914.951886574076</v>
      </c>
      <c r="Q1531" s="11"/>
      <c r="R1531" s="17" t="s">
        <v>5458</v>
      </c>
      <c r="S1531" s="11"/>
      <c r="T1531" s="11"/>
      <c r="U1531" s="10" t="str">
        <f>HYPERLINK("https://pbs.twimg.com/profile_images/1065120901212135425/LCsfMBNO.jpg","View")</f>
        <v>View</v>
      </c>
    </row>
    <row r="1532" spans="1:21" ht="30.6">
      <c r="A1532" s="6">
        <v>43439.595868055556</v>
      </c>
      <c r="B1532" s="7" t="str">
        <f>HYPERLINK("https://twitter.com/Maloski13","@Maloski13")</f>
        <v>@Maloski13</v>
      </c>
      <c r="C1532" s="8" t="s">
        <v>5459</v>
      </c>
      <c r="D1532" s="9" t="s">
        <v>5460</v>
      </c>
      <c r="E1532" s="10" t="str">
        <f>HYPERLINK("https://twitter.com/Maloski13/status/1070306308249788418","1070306308249788418")</f>
        <v>1070306308249788418</v>
      </c>
      <c r="F1532" s="11"/>
      <c r="G1532" s="11"/>
      <c r="H1532" s="11"/>
      <c r="I1532" s="12">
        <v>0</v>
      </c>
      <c r="J1532" s="12">
        <v>0</v>
      </c>
      <c r="K1532" s="13" t="str">
        <f t="shared" si="350"/>
        <v>Twitter Web Client</v>
      </c>
      <c r="L1532" s="12">
        <v>895</v>
      </c>
      <c r="M1532" s="12">
        <v>943</v>
      </c>
      <c r="N1532" s="12">
        <v>9</v>
      </c>
      <c r="O1532" s="14"/>
      <c r="P1532" s="6">
        <v>40691.625324074077</v>
      </c>
      <c r="Q1532" s="15" t="s">
        <v>5461</v>
      </c>
      <c r="R1532" s="17" t="s">
        <v>5462</v>
      </c>
      <c r="S1532" s="11"/>
      <c r="T1532" s="11"/>
      <c r="U1532" s="10" t="str">
        <f>HYPERLINK("https://pbs.twimg.com/profile_images/470280182515765249/TqKnTkKM.jpeg","View")</f>
        <v>View</v>
      </c>
    </row>
    <row r="1533" spans="1:21" ht="30.6">
      <c r="A1533" s="6">
        <v>43439.592499999999</v>
      </c>
      <c r="B1533" s="7" t="str">
        <f>HYPERLINK("https://twitter.com/okdiario","@okdiario")</f>
        <v>@okdiario</v>
      </c>
      <c r="C1533" s="8" t="s">
        <v>582</v>
      </c>
      <c r="D1533" s="9" t="s">
        <v>5463</v>
      </c>
      <c r="E1533" s="10" t="str">
        <f>HYPERLINK("https://twitter.com/okdiario/status/1070305086801362944","1070305086801362944")</f>
        <v>1070305086801362944</v>
      </c>
      <c r="F1533" s="16" t="s">
        <v>4144</v>
      </c>
      <c r="G1533" s="11"/>
      <c r="H1533" s="11"/>
      <c r="I1533" s="12">
        <v>20</v>
      </c>
      <c r="J1533" s="12">
        <v>40</v>
      </c>
      <c r="K1533" s="13" t="str">
        <f>HYPERLINK("https://www.echobox.com","Echobox Social")</f>
        <v>Echobox Social</v>
      </c>
      <c r="L1533" s="12">
        <v>112411</v>
      </c>
      <c r="M1533" s="12">
        <v>343</v>
      </c>
      <c r="N1533" s="12">
        <v>1440</v>
      </c>
      <c r="O1533" s="23" t="s">
        <v>89</v>
      </c>
      <c r="P1533" s="6">
        <v>42241.708229166667</v>
      </c>
      <c r="Q1533" s="11"/>
      <c r="R1533" s="17" t="s">
        <v>585</v>
      </c>
      <c r="S1533" s="16" t="s">
        <v>586</v>
      </c>
      <c r="T1533" s="11"/>
      <c r="U1533" s="10" t="str">
        <f>HYPERLINK("https://pbs.twimg.com/profile_images/789113773697208320/3LvFvi8Q.jpg","View")</f>
        <v>View</v>
      </c>
    </row>
    <row r="1534" spans="1:21" ht="51">
      <c r="A1534" s="6">
        <v>43439.59207175926</v>
      </c>
      <c r="B1534" s="7" t="str">
        <f>HYPERLINK("https://twitter.com/SergiBox77gr","@SergiBox77gr")</f>
        <v>@SergiBox77gr</v>
      </c>
      <c r="C1534" s="8" t="s">
        <v>5464</v>
      </c>
      <c r="D1534" s="9" t="s">
        <v>5465</v>
      </c>
      <c r="E1534" s="10" t="str">
        <f>HYPERLINK("https://twitter.com/SergiBox77gr/status/1070304929582075905","1070304929582075905")</f>
        <v>1070304929582075905</v>
      </c>
      <c r="F1534" s="11"/>
      <c r="G1534" s="11"/>
      <c r="H1534" s="11"/>
      <c r="I1534" s="12">
        <v>89</v>
      </c>
      <c r="J1534" s="12">
        <v>60</v>
      </c>
      <c r="K1534" s="13" t="str">
        <f t="shared" ref="K1534:K1535" si="351">HYPERLINK("http://twitter.com/download/iphone","Twitter for iPhone")</f>
        <v>Twitter for iPhone</v>
      </c>
      <c r="L1534" s="12">
        <v>4448</v>
      </c>
      <c r="M1534" s="12">
        <v>2230</v>
      </c>
      <c r="N1534" s="12">
        <v>17</v>
      </c>
      <c r="O1534" s="14"/>
      <c r="P1534" s="6">
        <v>43209.616666666669</v>
      </c>
      <c r="Q1534" s="15" t="s">
        <v>5466</v>
      </c>
      <c r="R1534" s="17" t="s">
        <v>5467</v>
      </c>
      <c r="S1534" s="11"/>
      <c r="T1534" s="11"/>
      <c r="U1534" s="10" t="str">
        <f>HYPERLINK("https://pbs.twimg.com/profile_images/1022167393332867073/SPdxrtI6.jpg","View")</f>
        <v>View</v>
      </c>
    </row>
    <row r="1535" spans="1:21" ht="30.6">
      <c r="A1535" s="6">
        <v>43439.59101851852</v>
      </c>
      <c r="B1535" s="7" t="str">
        <f>HYPERLINK("https://twitter.com/juanignaciogc","@juanignaciogc")</f>
        <v>@juanignaciogc</v>
      </c>
      <c r="C1535" s="8" t="s">
        <v>5468</v>
      </c>
      <c r="D1535" s="9" t="s">
        <v>5469</v>
      </c>
      <c r="E1535" s="10" t="str">
        <f>HYPERLINK("https://twitter.com/juanignaciogc/status/1070304547229327363","1070304547229327363")</f>
        <v>1070304547229327363</v>
      </c>
      <c r="F1535" s="11"/>
      <c r="G1535" s="11"/>
      <c r="H1535" s="11"/>
      <c r="I1535" s="12">
        <v>0</v>
      </c>
      <c r="J1535" s="12">
        <v>2</v>
      </c>
      <c r="K1535" s="13" t="str">
        <f t="shared" si="351"/>
        <v>Twitter for iPhone</v>
      </c>
      <c r="L1535" s="12">
        <v>593</v>
      </c>
      <c r="M1535" s="12">
        <v>578</v>
      </c>
      <c r="N1535" s="12">
        <v>23</v>
      </c>
      <c r="O1535" s="14"/>
      <c r="P1535" s="6">
        <v>40585.667314814811</v>
      </c>
      <c r="Q1535" s="15" t="s">
        <v>5470</v>
      </c>
      <c r="R1535" s="17" t="s">
        <v>5471</v>
      </c>
      <c r="S1535" s="11"/>
      <c r="T1535" s="11"/>
      <c r="U1535" s="10" t="str">
        <f>HYPERLINK("https://pbs.twimg.com/profile_images/1064491961627889664/gFz9OQAE.jpg","View")</f>
        <v>View</v>
      </c>
    </row>
    <row r="1536" spans="1:21" ht="61.2">
      <c r="A1536" s="6">
        <v>43439.590624999997</v>
      </c>
      <c r="B1536" s="7" t="str">
        <f>HYPERLINK("https://twitter.com/jorgeneila_","@jorgeneila_")</f>
        <v>@jorgeneila_</v>
      </c>
      <c r="C1536" s="8" t="s">
        <v>5472</v>
      </c>
      <c r="D1536" s="9" t="s">
        <v>5473</v>
      </c>
      <c r="E1536" s="10" t="str">
        <f>HYPERLINK("https://twitter.com/jorgeneila_/status/1070304407353466880","1070304407353466880")</f>
        <v>1070304407353466880</v>
      </c>
      <c r="F1536" s="15" t="s">
        <v>1001</v>
      </c>
      <c r="G1536" s="16" t="s">
        <v>1002</v>
      </c>
      <c r="H1536" s="11"/>
      <c r="I1536" s="12">
        <v>1</v>
      </c>
      <c r="J1536" s="12">
        <v>1</v>
      </c>
      <c r="K1536" s="13" t="str">
        <f>HYPERLINK("http://twitter.com/download/android","Twitter for Android")</f>
        <v>Twitter for Android</v>
      </c>
      <c r="L1536" s="12">
        <v>1366</v>
      </c>
      <c r="M1536" s="12">
        <v>562</v>
      </c>
      <c r="N1536" s="12">
        <v>8</v>
      </c>
      <c r="O1536" s="14"/>
      <c r="P1536" s="6">
        <v>40450.869201388887</v>
      </c>
      <c r="Q1536" s="15" t="s">
        <v>157</v>
      </c>
      <c r="R1536" s="17" t="s">
        <v>5474</v>
      </c>
      <c r="S1536" s="16" t="s">
        <v>5475</v>
      </c>
      <c r="T1536" s="11"/>
      <c r="U1536" s="10" t="str">
        <f>HYPERLINK("https://pbs.twimg.com/profile_images/1070379772562300933/i19uaJNd.jpg","View")</f>
        <v>View</v>
      </c>
    </row>
    <row r="1537" spans="1:21" ht="20.399999999999999">
      <c r="A1537" s="6">
        <v>43439.590011574073</v>
      </c>
      <c r="B1537" s="7" t="str">
        <f>HYPERLINK("https://twitter.com/Jaimyfox1","@Jaimyfox1")</f>
        <v>@Jaimyfox1</v>
      </c>
      <c r="C1537" s="8" t="s">
        <v>5476</v>
      </c>
      <c r="D1537" s="9" t="s">
        <v>1042</v>
      </c>
      <c r="E1537" s="10" t="str">
        <f>HYPERLINK("https://twitter.com/Jaimyfox1/status/1070304182731718658","1070304182731718658")</f>
        <v>1070304182731718658</v>
      </c>
      <c r="F1537" s="16" t="s">
        <v>1043</v>
      </c>
      <c r="G1537" s="11"/>
      <c r="H1537" s="11"/>
      <c r="I1537" s="12">
        <v>0</v>
      </c>
      <c r="J1537" s="12">
        <v>0</v>
      </c>
      <c r="K1537" s="13" t="str">
        <f>HYPERLINK("https://www.google.com/","Google")</f>
        <v>Google</v>
      </c>
      <c r="L1537" s="12">
        <v>3</v>
      </c>
      <c r="M1537" s="12">
        <v>7</v>
      </c>
      <c r="N1537" s="12">
        <v>0</v>
      </c>
      <c r="O1537" s="14"/>
      <c r="P1537" s="6">
        <v>43181.914375</v>
      </c>
      <c r="Q1537" s="11"/>
      <c r="R1537" s="18"/>
      <c r="S1537" s="11"/>
      <c r="T1537" s="11"/>
      <c r="U1537" s="10" t="str">
        <f>HYPERLINK("https://pbs.twimg.com/profile_images/983107666296918018/mM-CxhwM.jpg","View")</f>
        <v>View</v>
      </c>
    </row>
    <row r="1538" spans="1:21" ht="30.6">
      <c r="A1538" s="6">
        <v>43439.58975694445</v>
      </c>
      <c r="B1538" s="7" t="str">
        <f t="shared" ref="B1538:B1539" si="352">HYPERLINK("https://twitter.com/okdiario","@okdiario")</f>
        <v>@okdiario</v>
      </c>
      <c r="C1538" s="8" t="s">
        <v>582</v>
      </c>
      <c r="D1538" s="9" t="s">
        <v>5477</v>
      </c>
      <c r="E1538" s="10" t="str">
        <f>HYPERLINK("https://twitter.com/okdiario/status/1070304091610513408","1070304091610513408")</f>
        <v>1070304091610513408</v>
      </c>
      <c r="F1538" s="16" t="s">
        <v>5478</v>
      </c>
      <c r="G1538" s="11"/>
      <c r="H1538" s="11"/>
      <c r="I1538" s="12">
        <v>839</v>
      </c>
      <c r="J1538" s="12">
        <v>1505</v>
      </c>
      <c r="K1538" s="13" t="str">
        <f t="shared" ref="K1538:K1539" si="353">HYPERLINK("https://www.echobox.com","Echobox Social")</f>
        <v>Echobox Social</v>
      </c>
      <c r="L1538" s="12">
        <v>112411</v>
      </c>
      <c r="M1538" s="12">
        <v>343</v>
      </c>
      <c r="N1538" s="12">
        <v>1440</v>
      </c>
      <c r="O1538" s="23" t="s">
        <v>89</v>
      </c>
      <c r="P1538" s="6">
        <v>42241.708229166667</v>
      </c>
      <c r="Q1538" s="11"/>
      <c r="R1538" s="17" t="s">
        <v>585</v>
      </c>
      <c r="S1538" s="16" t="s">
        <v>586</v>
      </c>
      <c r="T1538" s="11"/>
      <c r="U1538" s="10" t="str">
        <f t="shared" ref="U1538:U1539" si="354">HYPERLINK("https://pbs.twimg.com/profile_images/789113773697208320/3LvFvi8Q.jpg","View")</f>
        <v>View</v>
      </c>
    </row>
    <row r="1539" spans="1:21" ht="30.6">
      <c r="A1539" s="6">
        <v>43439.589525462958</v>
      </c>
      <c r="B1539" s="7" t="str">
        <f t="shared" si="352"/>
        <v>@okdiario</v>
      </c>
      <c r="C1539" s="8" t="s">
        <v>582</v>
      </c>
      <c r="D1539" s="9" t="s">
        <v>5479</v>
      </c>
      <c r="E1539" s="10" t="str">
        <f>HYPERLINK("https://twitter.com/okdiario/status/1070304008005435394","1070304008005435394")</f>
        <v>1070304008005435394</v>
      </c>
      <c r="F1539" s="16" t="s">
        <v>5480</v>
      </c>
      <c r="G1539" s="11"/>
      <c r="H1539" s="11"/>
      <c r="I1539" s="12">
        <v>2</v>
      </c>
      <c r="J1539" s="12">
        <v>11</v>
      </c>
      <c r="K1539" s="13" t="str">
        <f t="shared" si="353"/>
        <v>Echobox Social</v>
      </c>
      <c r="L1539" s="12">
        <v>112411</v>
      </c>
      <c r="M1539" s="12">
        <v>343</v>
      </c>
      <c r="N1539" s="12">
        <v>1440</v>
      </c>
      <c r="O1539" s="23" t="s">
        <v>89</v>
      </c>
      <c r="P1539" s="6">
        <v>42241.708229166667</v>
      </c>
      <c r="Q1539" s="11"/>
      <c r="R1539" s="17" t="s">
        <v>585</v>
      </c>
      <c r="S1539" s="16" t="s">
        <v>586</v>
      </c>
      <c r="T1539" s="11"/>
      <c r="U1539" s="10" t="str">
        <f t="shared" si="354"/>
        <v>View</v>
      </c>
    </row>
    <row r="1540" spans="1:21" ht="51">
      <c r="A1540" s="6">
        <v>43439.589340277773</v>
      </c>
      <c r="B1540" s="7" t="str">
        <f>HYPERLINK("https://twitter.com/Cachopodel","@Cachopodel")</f>
        <v>@Cachopodel</v>
      </c>
      <c r="C1540" s="8" t="s">
        <v>5481</v>
      </c>
      <c r="D1540" s="9" t="s">
        <v>5482</v>
      </c>
      <c r="E1540" s="10" t="str">
        <f>HYPERLINK("https://twitter.com/Cachopodel/status/1070303942532308992","1070303942532308992")</f>
        <v>1070303942532308992</v>
      </c>
      <c r="F1540" s="11"/>
      <c r="G1540" s="16" t="s">
        <v>5483</v>
      </c>
      <c r="H1540" s="11"/>
      <c r="I1540" s="12">
        <v>0</v>
      </c>
      <c r="J1540" s="12">
        <v>1</v>
      </c>
      <c r="K1540" s="13" t="str">
        <f t="shared" ref="K1540:K1542" si="355">HYPERLINK("http://twitter.com/download/android","Twitter for Android")</f>
        <v>Twitter for Android</v>
      </c>
      <c r="L1540" s="12">
        <v>17</v>
      </c>
      <c r="M1540" s="12">
        <v>108</v>
      </c>
      <c r="N1540" s="12">
        <v>0</v>
      </c>
      <c r="O1540" s="14"/>
      <c r="P1540" s="6">
        <v>43436.728472222225</v>
      </c>
      <c r="Q1540" s="11"/>
      <c r="R1540" s="17" t="s">
        <v>5484</v>
      </c>
      <c r="S1540" s="11"/>
      <c r="T1540" s="11"/>
      <c r="U1540" s="10" t="str">
        <f>HYPERLINK("https://pbs.twimg.com/profile_images/1069268238679384066/AGBPBM_M.jpg","View")</f>
        <v>View</v>
      </c>
    </row>
    <row r="1541" spans="1:21" ht="13.2">
      <c r="A1541" s="6">
        <v>43439.589270833334</v>
      </c>
      <c r="B1541" s="7" t="str">
        <f>HYPERLINK("https://twitter.com/luismerga76","@luismerga76")</f>
        <v>@luismerga76</v>
      </c>
      <c r="C1541" s="8" t="s">
        <v>194</v>
      </c>
      <c r="D1541" s="9" t="s">
        <v>5485</v>
      </c>
      <c r="E1541" s="10" t="str">
        <f>HYPERLINK("https://twitter.com/luismerga76/status/1070303915957198849","1070303915957198849")</f>
        <v>1070303915957198849</v>
      </c>
      <c r="F1541" s="11"/>
      <c r="G1541" s="11"/>
      <c r="H1541" s="11"/>
      <c r="I1541" s="12">
        <v>0</v>
      </c>
      <c r="J1541" s="12">
        <v>0</v>
      </c>
      <c r="K1541" s="13" t="str">
        <f t="shared" si="355"/>
        <v>Twitter for Android</v>
      </c>
      <c r="L1541" s="12">
        <v>907</v>
      </c>
      <c r="M1541" s="12">
        <v>708</v>
      </c>
      <c r="N1541" s="12">
        <v>11</v>
      </c>
      <c r="O1541" s="14"/>
      <c r="P1541" s="6">
        <v>40950.892233796294</v>
      </c>
      <c r="Q1541" s="15" t="s">
        <v>56</v>
      </c>
      <c r="R1541" s="18"/>
      <c r="S1541" s="11"/>
      <c r="T1541" s="11"/>
      <c r="U1541" s="10" t="str">
        <f>HYPERLINK("https://pbs.twimg.com/profile_images/896382448212291584/titFLEYM.jpg","View")</f>
        <v>View</v>
      </c>
    </row>
    <row r="1542" spans="1:21" ht="40.799999999999997">
      <c r="A1542" s="6">
        <v>43439.588379629626</v>
      </c>
      <c r="B1542" s="7" t="str">
        <f>HYPERLINK("https://twitter.com/Lidia_Omega","@Lidia_Omega")</f>
        <v>@Lidia_Omega</v>
      </c>
      <c r="C1542" s="8" t="s">
        <v>5486</v>
      </c>
      <c r="D1542" s="9" t="s">
        <v>5487</v>
      </c>
      <c r="E1542" s="10" t="str">
        <f>HYPERLINK("https://twitter.com/Lidia_Omega/status/1070303592198868992","1070303592198868992")</f>
        <v>1070303592198868992</v>
      </c>
      <c r="F1542" s="11"/>
      <c r="G1542" s="11"/>
      <c r="H1542" s="11"/>
      <c r="I1542" s="12">
        <v>0</v>
      </c>
      <c r="J1542" s="12">
        <v>0</v>
      </c>
      <c r="K1542" s="13" t="str">
        <f t="shared" si="355"/>
        <v>Twitter for Android</v>
      </c>
      <c r="L1542" s="12">
        <v>197</v>
      </c>
      <c r="M1542" s="12">
        <v>71</v>
      </c>
      <c r="N1542" s="12">
        <v>2</v>
      </c>
      <c r="O1542" s="14"/>
      <c r="P1542" s="6">
        <v>42039.518738425926</v>
      </c>
      <c r="Q1542" s="15" t="s">
        <v>2875</v>
      </c>
      <c r="R1542" s="17" t="s">
        <v>5488</v>
      </c>
      <c r="S1542" s="16" t="s">
        <v>5489</v>
      </c>
      <c r="T1542" s="11"/>
      <c r="U1542" s="10" t="str">
        <f>HYPERLINK("https://pbs.twimg.com/profile_images/1071194780288368640/IP2y9D5N.jpg","View")</f>
        <v>View</v>
      </c>
    </row>
    <row r="1543" spans="1:21" ht="40.799999999999997">
      <c r="A1543" s="6">
        <v>43439.587893518517</v>
      </c>
      <c r="B1543" s="7" t="str">
        <f>HYPERLINK("https://twitter.com/opinaryopinar","@opinaryopinar")</f>
        <v>@opinaryopinar</v>
      </c>
      <c r="C1543" s="8" t="s">
        <v>5490</v>
      </c>
      <c r="D1543" s="9" t="s">
        <v>5491</v>
      </c>
      <c r="E1543" s="10" t="str">
        <f>HYPERLINK("https://twitter.com/opinaryopinar/status/1070303418726711297","1070303418726711297")</f>
        <v>1070303418726711297</v>
      </c>
      <c r="F1543" s="11"/>
      <c r="G1543" s="11"/>
      <c r="H1543" s="11"/>
      <c r="I1543" s="12">
        <v>0</v>
      </c>
      <c r="J1543" s="12">
        <v>0</v>
      </c>
      <c r="K1543" s="13" t="str">
        <f t="shared" ref="K1543:K1545" si="356">HYPERLINK("http://twitter.com/download/iphone","Twitter for iPhone")</f>
        <v>Twitter for iPhone</v>
      </c>
      <c r="L1543" s="12">
        <v>3</v>
      </c>
      <c r="M1543" s="12">
        <v>33</v>
      </c>
      <c r="N1543" s="12">
        <v>0</v>
      </c>
      <c r="O1543" s="14"/>
      <c r="P1543" s="6">
        <v>43431.456469907411</v>
      </c>
      <c r="Q1543" s="15" t="s">
        <v>1851</v>
      </c>
      <c r="R1543" s="18"/>
      <c r="S1543" s="11"/>
      <c r="T1543" s="11"/>
      <c r="U1543" s="10" t="str">
        <f>HYPERLINK("https://pbs.twimg.com/profile_images/1067359306138492928/WZM9yOM2.jpg","View")</f>
        <v>View</v>
      </c>
    </row>
    <row r="1544" spans="1:21" ht="51">
      <c r="A1544" s="6">
        <v>43439.587372685186</v>
      </c>
      <c r="B1544" s="7" t="str">
        <f>HYPERLINK("https://twitter.com/jorgeamadog","@jorgeamadog")</f>
        <v>@jorgeamadog</v>
      </c>
      <c r="C1544" s="8" t="s">
        <v>5492</v>
      </c>
      <c r="D1544" s="9" t="s">
        <v>5493</v>
      </c>
      <c r="E1544" s="10" t="str">
        <f>HYPERLINK("https://twitter.com/jorgeamadog/status/1070303226346512384","1070303226346512384")</f>
        <v>1070303226346512384</v>
      </c>
      <c r="F1544" s="11"/>
      <c r="G1544" s="16" t="s">
        <v>5494</v>
      </c>
      <c r="H1544" s="11"/>
      <c r="I1544" s="12">
        <v>0</v>
      </c>
      <c r="J1544" s="12">
        <v>6</v>
      </c>
      <c r="K1544" s="13" t="str">
        <f t="shared" si="356"/>
        <v>Twitter for iPhone</v>
      </c>
      <c r="L1544" s="12">
        <v>1719</v>
      </c>
      <c r="M1544" s="12">
        <v>1421</v>
      </c>
      <c r="N1544" s="12">
        <v>6</v>
      </c>
      <c r="O1544" s="14"/>
      <c r="P1544" s="6">
        <v>40480.410937499997</v>
      </c>
      <c r="Q1544" s="15" t="s">
        <v>197</v>
      </c>
      <c r="R1544" s="17" t="s">
        <v>5495</v>
      </c>
      <c r="S1544" s="11"/>
      <c r="T1544" s="11"/>
      <c r="U1544" s="10" t="str">
        <f>HYPERLINK("https://pbs.twimg.com/profile_images/839440192578732032/iyMwsRqd.jpg","View")</f>
        <v>View</v>
      </c>
    </row>
    <row r="1545" spans="1:21" ht="30.6">
      <c r="A1545" s="6">
        <v>43439.586863425924</v>
      </c>
      <c r="B1545" s="7" t="str">
        <f>HYPERLINK("https://twitter.com/Vidiar","@Vidiar")</f>
        <v>@Vidiar</v>
      </c>
      <c r="C1545" s="8" t="s">
        <v>5496</v>
      </c>
      <c r="D1545" s="9" t="s">
        <v>5497</v>
      </c>
      <c r="E1545" s="10" t="str">
        <f>HYPERLINK("https://twitter.com/Vidiar/status/1070303041591627776","1070303041591627776")</f>
        <v>1070303041591627776</v>
      </c>
      <c r="F1545" s="11"/>
      <c r="G1545" s="11"/>
      <c r="H1545" s="11"/>
      <c r="I1545" s="12">
        <v>0</v>
      </c>
      <c r="J1545" s="12">
        <v>0</v>
      </c>
      <c r="K1545" s="13" t="str">
        <f t="shared" si="356"/>
        <v>Twitter for iPhone</v>
      </c>
      <c r="L1545" s="12">
        <v>880</v>
      </c>
      <c r="M1545" s="12">
        <v>257</v>
      </c>
      <c r="N1545" s="12">
        <v>22</v>
      </c>
      <c r="O1545" s="14"/>
      <c r="P1545" s="6">
        <v>40367.005995370375</v>
      </c>
      <c r="Q1545" s="15" t="s">
        <v>5498</v>
      </c>
      <c r="R1545" s="17" t="s">
        <v>5499</v>
      </c>
      <c r="S1545" s="11"/>
      <c r="T1545" s="11"/>
      <c r="U1545" s="10" t="str">
        <f>HYPERLINK("https://pbs.twimg.com/profile_images/817615479623811072/h3Tsr-sU.jpg","View")</f>
        <v>View</v>
      </c>
    </row>
    <row r="1546" spans="1:21" ht="51">
      <c r="A1546" s="6">
        <v>43439.586631944447</v>
      </c>
      <c r="B1546" s="7" t="str">
        <f>HYPERLINK("https://twitter.com/Beatriz09368108","@Beatriz09368108")</f>
        <v>@Beatriz09368108</v>
      </c>
      <c r="C1546" s="8" t="s">
        <v>5500</v>
      </c>
      <c r="D1546" s="9" t="s">
        <v>5501</v>
      </c>
      <c r="E1546" s="10" t="str">
        <f>HYPERLINK("https://twitter.com/Beatriz09368108/status/1070302959873986562","1070302959873986562")</f>
        <v>1070302959873986562</v>
      </c>
      <c r="F1546" s="11"/>
      <c r="G1546" s="11"/>
      <c r="H1546" s="11"/>
      <c r="I1546" s="12">
        <v>0</v>
      </c>
      <c r="J1546" s="12">
        <v>1</v>
      </c>
      <c r="K1546" s="13" t="str">
        <f>HYPERLINK("http://twitter.com/download/android","Twitter for Android")</f>
        <v>Twitter for Android</v>
      </c>
      <c r="L1546" s="12">
        <v>220</v>
      </c>
      <c r="M1546" s="12">
        <v>291</v>
      </c>
      <c r="N1546" s="12">
        <v>1</v>
      </c>
      <c r="O1546" s="14"/>
      <c r="P1546" s="6">
        <v>43296.979861111111</v>
      </c>
      <c r="Q1546" s="15" t="s">
        <v>5502</v>
      </c>
      <c r="R1546" s="17" t="s">
        <v>5503</v>
      </c>
      <c r="S1546" s="11"/>
      <c r="T1546" s="11"/>
      <c r="U1546" s="10" t="str">
        <f>HYPERLINK("https://pbs.twimg.com/profile_images/1068776207142014976/BczHyvoA.jpg","View")</f>
        <v>View</v>
      </c>
    </row>
    <row r="1547" spans="1:21" ht="20.399999999999999">
      <c r="A1547" s="6">
        <v>43439.586481481485</v>
      </c>
      <c r="B1547" s="7" t="str">
        <f>HYPERLINK("https://twitter.com/MediterraneoDGT","@MediterraneoDGT")</f>
        <v>@MediterraneoDGT</v>
      </c>
      <c r="C1547" s="8" t="s">
        <v>4436</v>
      </c>
      <c r="D1547" s="9" t="s">
        <v>5504</v>
      </c>
      <c r="E1547" s="10" t="str">
        <f>HYPERLINK("https://twitter.com/MediterraneoDGT/status/1070302904375001090","1070302904375001090")</f>
        <v>1070302904375001090</v>
      </c>
      <c r="F1547" s="16" t="s">
        <v>5505</v>
      </c>
      <c r="G1547" s="11"/>
      <c r="H1547" s="11"/>
      <c r="I1547" s="12">
        <v>194</v>
      </c>
      <c r="J1547" s="12">
        <v>216</v>
      </c>
      <c r="K1547" s="13" t="str">
        <f>HYPERLINK("http://twitter.com","Twitter Web Client")</f>
        <v>Twitter Web Client</v>
      </c>
      <c r="L1547" s="12">
        <v>46954</v>
      </c>
      <c r="M1547" s="12">
        <v>573</v>
      </c>
      <c r="N1547" s="12">
        <v>427</v>
      </c>
      <c r="O1547" s="23" t="s">
        <v>89</v>
      </c>
      <c r="P1547" s="6">
        <v>40460.786620370374</v>
      </c>
      <c r="Q1547" s="15" t="s">
        <v>197</v>
      </c>
      <c r="R1547" s="17" t="s">
        <v>4439</v>
      </c>
      <c r="S1547" s="16" t="s">
        <v>4440</v>
      </c>
      <c r="T1547" s="11"/>
      <c r="U1547" s="10" t="str">
        <f>HYPERLINK("https://pbs.twimg.com/profile_images/756475645941673984/TNBJ4frX.jpg","View")</f>
        <v>View</v>
      </c>
    </row>
    <row r="1548" spans="1:21" ht="20.399999999999999">
      <c r="A1548" s="6">
        <v>43439.586006944446</v>
      </c>
      <c r="B1548" s="7" t="str">
        <f>HYPERLINK("https://twitter.com/andyvf_","@andyvf_")</f>
        <v>@andyvf_</v>
      </c>
      <c r="C1548" s="8" t="s">
        <v>5506</v>
      </c>
      <c r="D1548" s="9" t="s">
        <v>5507</v>
      </c>
      <c r="E1548" s="10" t="str">
        <f>HYPERLINK("https://twitter.com/andyvf_/status/1070302733637484544","1070302733637484544")</f>
        <v>1070302733637484544</v>
      </c>
      <c r="F1548" s="11"/>
      <c r="G1548" s="11"/>
      <c r="H1548" s="11"/>
      <c r="I1548" s="12">
        <v>0</v>
      </c>
      <c r="J1548" s="12">
        <v>2</v>
      </c>
      <c r="K1548" s="13" t="str">
        <f>HYPERLINK("http://twitter.com/download/iphone","Twitter for iPhone")</f>
        <v>Twitter for iPhone</v>
      </c>
      <c r="L1548" s="12">
        <v>310</v>
      </c>
      <c r="M1548" s="12">
        <v>239</v>
      </c>
      <c r="N1548" s="12">
        <v>0</v>
      </c>
      <c r="O1548" s="14"/>
      <c r="P1548" s="6">
        <v>41546.564085648148</v>
      </c>
      <c r="Q1548" s="15" t="s">
        <v>5508</v>
      </c>
      <c r="R1548" s="17" t="s">
        <v>5509</v>
      </c>
      <c r="S1548" s="16" t="s">
        <v>5510</v>
      </c>
      <c r="T1548" s="11"/>
      <c r="U1548" s="10" t="str">
        <f>HYPERLINK("https://pbs.twimg.com/profile_images/1069718087228887040/5Af4G9H1.jpg","View")</f>
        <v>View</v>
      </c>
    </row>
    <row r="1549" spans="1:21" ht="40.799999999999997">
      <c r="A1549" s="6">
        <v>43439.584733796291</v>
      </c>
      <c r="B1549" s="7" t="str">
        <f>HYPERLINK("https://twitter.com/JonLavey","@JonLavey")</f>
        <v>@JonLavey</v>
      </c>
      <c r="C1549" s="8" t="s">
        <v>3040</v>
      </c>
      <c r="D1549" s="9" t="s">
        <v>5511</v>
      </c>
      <c r="E1549" s="10" t="str">
        <f>HYPERLINK("https://twitter.com/JonLavey/status/1070302272897380352","1070302272897380352")</f>
        <v>1070302272897380352</v>
      </c>
      <c r="F1549" s="11"/>
      <c r="G1549" s="11"/>
      <c r="H1549" s="11"/>
      <c r="I1549" s="12">
        <v>0</v>
      </c>
      <c r="J1549" s="12">
        <v>0</v>
      </c>
      <c r="K1549" s="13" t="str">
        <f>HYPERLINK("http://twitter.com/download/android","Twitter for Android")</f>
        <v>Twitter for Android</v>
      </c>
      <c r="L1549" s="12">
        <v>52</v>
      </c>
      <c r="M1549" s="12">
        <v>131</v>
      </c>
      <c r="N1549" s="12">
        <v>0</v>
      </c>
      <c r="O1549" s="14"/>
      <c r="P1549" s="6">
        <v>43251.737442129626</v>
      </c>
      <c r="Q1549" s="15" t="s">
        <v>1546</v>
      </c>
      <c r="R1549" s="17" t="s">
        <v>3043</v>
      </c>
      <c r="S1549" s="11"/>
      <c r="T1549" s="11"/>
      <c r="U1549" s="10" t="str">
        <f>HYPERLINK("https://pbs.twimg.com/profile_images/1002225228930519045/IuhMoZTW.jpg","View")</f>
        <v>View</v>
      </c>
    </row>
    <row r="1550" spans="1:21" ht="51">
      <c r="A1550" s="6">
        <v>43439.584722222222</v>
      </c>
      <c r="B1550" s="7" t="str">
        <f>HYPERLINK("https://twitter.com/lacompetencia","@lacompetencia")</f>
        <v>@lacompetencia</v>
      </c>
      <c r="C1550" s="8" t="s">
        <v>5512</v>
      </c>
      <c r="D1550" s="9" t="s">
        <v>5513</v>
      </c>
      <c r="E1550" s="10" t="str">
        <f>HYPERLINK("https://twitter.com/lacompetencia/status/1070302267167961089","1070302267167961089")</f>
        <v>1070302267167961089</v>
      </c>
      <c r="F1550" s="11"/>
      <c r="G1550" s="11"/>
      <c r="H1550" s="11"/>
      <c r="I1550" s="12">
        <v>20</v>
      </c>
      <c r="J1550" s="12">
        <v>97</v>
      </c>
      <c r="K1550" s="13" t="str">
        <f>HYPERLINK("https://about.twitter.com/products/tweetdeck","TweetDeck")</f>
        <v>TweetDeck</v>
      </c>
      <c r="L1550" s="12">
        <v>158882</v>
      </c>
      <c r="M1550" s="12">
        <v>300</v>
      </c>
      <c r="N1550" s="12">
        <v>1358</v>
      </c>
      <c r="O1550" s="14"/>
      <c r="P1550" s="6">
        <v>40053.979942129634</v>
      </c>
      <c r="Q1550" s="11"/>
      <c r="R1550" s="17" t="s">
        <v>5514</v>
      </c>
      <c r="S1550" s="11"/>
      <c r="T1550" s="11"/>
      <c r="U1550" s="10" t="str">
        <f>HYPERLINK("https://pbs.twimg.com/profile_images/1036279335320203264/gWrgdKsC.jpg","View")</f>
        <v>View</v>
      </c>
    </row>
    <row r="1551" spans="1:21" ht="51">
      <c r="A1551" s="6">
        <v>43439.584722222222</v>
      </c>
      <c r="B1551" s="7" t="str">
        <f>HYPERLINK("https://twitter.com/bitMomentum","@bitMomentum")</f>
        <v>@bitMomentum</v>
      </c>
      <c r="C1551" s="8" t="s">
        <v>82</v>
      </c>
      <c r="D1551" s="9" t="s">
        <v>5515</v>
      </c>
      <c r="E1551" s="10" t="str">
        <f>HYPERLINK("https://twitter.com/bitMomentum/status/1070302266236780545","1070302266236780545")</f>
        <v>1070302266236780545</v>
      </c>
      <c r="F1551" s="11"/>
      <c r="G1551" s="11"/>
      <c r="H1551" s="11"/>
      <c r="I1551" s="12">
        <v>0</v>
      </c>
      <c r="J1551" s="12">
        <v>0</v>
      </c>
      <c r="K1551" s="13" t="str">
        <f>HYPERLINK("http://www.bitmomentum.com","bitMomentum Bot")</f>
        <v>bitMomentum Bot</v>
      </c>
      <c r="L1551" s="12">
        <v>10253</v>
      </c>
      <c r="M1551" s="12">
        <v>1059</v>
      </c>
      <c r="N1551" s="12">
        <v>263</v>
      </c>
      <c r="O1551" s="14"/>
      <c r="P1551" s="6">
        <v>41608.667511574073</v>
      </c>
      <c r="Q1551" s="11"/>
      <c r="R1551" s="17" t="s">
        <v>84</v>
      </c>
      <c r="S1551" s="16" t="s">
        <v>85</v>
      </c>
      <c r="T1551" s="11"/>
      <c r="U1551" s="10" t="str">
        <f>HYPERLINK("https://pbs.twimg.com/profile_images/378800000862185241/20ij2H3u.png","View")</f>
        <v>View</v>
      </c>
    </row>
    <row r="1552" spans="1:21" ht="40.799999999999997">
      <c r="A1552" s="6">
        <v>43439.584432870368</v>
      </c>
      <c r="B1552" s="7" t="str">
        <f>HYPERLINK("https://twitter.com/albamarco_","@albamarco_")</f>
        <v>@albamarco_</v>
      </c>
      <c r="C1552" s="8" t="s">
        <v>5516</v>
      </c>
      <c r="D1552" s="9" t="s">
        <v>5517</v>
      </c>
      <c r="E1552" s="10" t="str">
        <f>HYPERLINK("https://twitter.com/albamarco_/status/1070302164554313728","1070302164554313728")</f>
        <v>1070302164554313728</v>
      </c>
      <c r="F1552" s="15" t="s">
        <v>5293</v>
      </c>
      <c r="G1552" s="16" t="s">
        <v>5294</v>
      </c>
      <c r="H1552" s="11"/>
      <c r="I1552" s="12">
        <v>0</v>
      </c>
      <c r="J1552" s="12">
        <v>1</v>
      </c>
      <c r="K1552" s="13" t="str">
        <f>HYPERLINK("http://twitter.com/download/iphone","Twitter for iPhone")</f>
        <v>Twitter for iPhone</v>
      </c>
      <c r="L1552" s="12">
        <v>167</v>
      </c>
      <c r="M1552" s="12">
        <v>208</v>
      </c>
      <c r="N1552" s="12">
        <v>0</v>
      </c>
      <c r="O1552" s="14"/>
      <c r="P1552" s="6">
        <v>41630.993090277778</v>
      </c>
      <c r="Q1552" s="15" t="s">
        <v>197</v>
      </c>
      <c r="R1552" s="17" t="s">
        <v>3361</v>
      </c>
      <c r="S1552" s="11"/>
      <c r="T1552" s="11"/>
      <c r="U1552" s="10" t="str">
        <f>HYPERLINK("https://pbs.twimg.com/profile_images/992847794795892736/-G__UTIs.jpg","View")</f>
        <v>View</v>
      </c>
    </row>
    <row r="1553" spans="1:21" ht="51">
      <c r="A1553" s="6">
        <v>43439.584027777775</v>
      </c>
      <c r="B1553" s="7" t="str">
        <f>HYPERLINK("https://twitter.com/bitMomentum","@bitMomentum")</f>
        <v>@bitMomentum</v>
      </c>
      <c r="C1553" s="8" t="s">
        <v>82</v>
      </c>
      <c r="D1553" s="9" t="s">
        <v>5518</v>
      </c>
      <c r="E1553" s="10" t="str">
        <f>HYPERLINK("https://twitter.com/bitMomentum/status/1070302014507245568","1070302014507245568")</f>
        <v>1070302014507245568</v>
      </c>
      <c r="F1553" s="11"/>
      <c r="G1553" s="11"/>
      <c r="H1553" s="11"/>
      <c r="I1553" s="12">
        <v>0</v>
      </c>
      <c r="J1553" s="12">
        <v>1</v>
      </c>
      <c r="K1553" s="13" t="str">
        <f>HYPERLINK("http://www.bitmomentum.com","bitMomentum Bot")</f>
        <v>bitMomentum Bot</v>
      </c>
      <c r="L1553" s="12">
        <v>10253</v>
      </c>
      <c r="M1553" s="12">
        <v>1059</v>
      </c>
      <c r="N1553" s="12">
        <v>263</v>
      </c>
      <c r="O1553" s="14"/>
      <c r="P1553" s="6">
        <v>41608.667511574073</v>
      </c>
      <c r="Q1553" s="11"/>
      <c r="R1553" s="17" t="s">
        <v>84</v>
      </c>
      <c r="S1553" s="16" t="s">
        <v>85</v>
      </c>
      <c r="T1553" s="11"/>
      <c r="U1553" s="10" t="str">
        <f>HYPERLINK("https://pbs.twimg.com/profile_images/378800000862185241/20ij2H3u.png","View")</f>
        <v>View</v>
      </c>
    </row>
    <row r="1554" spans="1:21" ht="81.599999999999994">
      <c r="A1554" s="6">
        <v>43439.583425925928</v>
      </c>
      <c r="B1554" s="7" t="str">
        <f>HYPERLINK("https://twitter.com/Chusbrave","@Chusbrave")</f>
        <v>@Chusbrave</v>
      </c>
      <c r="C1554" s="8" t="s">
        <v>4749</v>
      </c>
      <c r="D1554" s="9" t="s">
        <v>5519</v>
      </c>
      <c r="E1554" s="10" t="str">
        <f>HYPERLINK("https://twitter.com/Chusbrave/status/1070301799373029376","1070301799373029376")</f>
        <v>1070301799373029376</v>
      </c>
      <c r="F1554" s="16" t="s">
        <v>5520</v>
      </c>
      <c r="G1554" s="16" t="s">
        <v>5521</v>
      </c>
      <c r="H1554" s="11"/>
      <c r="I1554" s="12">
        <v>1</v>
      </c>
      <c r="J1554" s="12">
        <v>3</v>
      </c>
      <c r="K1554" s="13" t="str">
        <f>HYPERLINK("http://twitter.com/download/iphone","Twitter for iPhone")</f>
        <v>Twitter for iPhone</v>
      </c>
      <c r="L1554" s="12">
        <v>325</v>
      </c>
      <c r="M1554" s="12">
        <v>355</v>
      </c>
      <c r="N1554" s="12">
        <v>7</v>
      </c>
      <c r="O1554" s="14"/>
      <c r="P1554" s="6">
        <v>40855.030833333338</v>
      </c>
      <c r="Q1554" s="15" t="s">
        <v>612</v>
      </c>
      <c r="R1554" s="17" t="s">
        <v>4752</v>
      </c>
      <c r="S1554" s="11"/>
      <c r="T1554" s="11"/>
      <c r="U1554" s="10" t="str">
        <f>HYPERLINK("https://pbs.twimg.com/profile_images/1649077231/twitter.JPG","View")</f>
        <v>View</v>
      </c>
    </row>
    <row r="1555" spans="1:21" ht="51">
      <c r="A1555" s="6">
        <v>43439.58293981482</v>
      </c>
      <c r="B1555" s="7" t="str">
        <f>HYPERLINK("https://twitter.com/Alberto_deJesus","@Alberto_deJesus")</f>
        <v>@Alberto_deJesus</v>
      </c>
      <c r="C1555" s="8" t="s">
        <v>5522</v>
      </c>
      <c r="D1555" s="9" t="s">
        <v>5523</v>
      </c>
      <c r="E1555" s="10" t="str">
        <f>HYPERLINK("https://twitter.com/Alberto_deJesus/status/1070301623166078976","1070301623166078976")</f>
        <v>1070301623166078976</v>
      </c>
      <c r="F1555" s="16" t="s">
        <v>5524</v>
      </c>
      <c r="G1555" s="11"/>
      <c r="H1555" s="11"/>
      <c r="I1555" s="12">
        <v>1</v>
      </c>
      <c r="J1555" s="12">
        <v>1</v>
      </c>
      <c r="K1555" s="13" t="str">
        <f>HYPERLINK("http://twitter.com","Twitter Web Client")</f>
        <v>Twitter Web Client</v>
      </c>
      <c r="L1555" s="12">
        <v>1088</v>
      </c>
      <c r="M1555" s="12">
        <v>2077</v>
      </c>
      <c r="N1555" s="12">
        <v>13</v>
      </c>
      <c r="O1555" s="14"/>
      <c r="P1555" s="6">
        <v>40577.815011574072</v>
      </c>
      <c r="Q1555" s="11"/>
      <c r="R1555" s="17" t="s">
        <v>5525</v>
      </c>
      <c r="S1555" s="11"/>
      <c r="T1555" s="11"/>
      <c r="U1555" s="10" t="str">
        <f>HYPERLINK("https://pbs.twimg.com/profile_images/951506738431348737/6cR4Ai9G.jpg","View")</f>
        <v>View</v>
      </c>
    </row>
    <row r="1556" spans="1:21" ht="40.799999999999997">
      <c r="A1556" s="6">
        <v>43439.582349537042</v>
      </c>
      <c r="B1556" s="7" t="str">
        <f>HYPERLINK("https://twitter.com/javi_rouchi","@javi_rouchi")</f>
        <v>@javi_rouchi</v>
      </c>
      <c r="C1556" s="8" t="s">
        <v>5526</v>
      </c>
      <c r="D1556" s="9" t="s">
        <v>5527</v>
      </c>
      <c r="E1556" s="10" t="str">
        <f>HYPERLINK("https://twitter.com/javi_rouchi/status/1070301406756814848","1070301406756814848")</f>
        <v>1070301406756814848</v>
      </c>
      <c r="F1556" s="11"/>
      <c r="G1556" s="16" t="s">
        <v>5528</v>
      </c>
      <c r="H1556" s="11"/>
      <c r="I1556" s="12">
        <v>1</v>
      </c>
      <c r="J1556" s="12">
        <v>1</v>
      </c>
      <c r="K1556" s="13" t="str">
        <f>HYPERLINK("http://twitter.com/download/android","Twitter for Android")</f>
        <v>Twitter for Android</v>
      </c>
      <c r="L1556" s="12">
        <v>54</v>
      </c>
      <c r="M1556" s="12">
        <v>120</v>
      </c>
      <c r="N1556" s="12">
        <v>0</v>
      </c>
      <c r="O1556" s="14"/>
      <c r="P1556" s="6">
        <v>40623.446192129632</v>
      </c>
      <c r="Q1556" s="15" t="s">
        <v>5529</v>
      </c>
      <c r="R1556" s="17" t="s">
        <v>5530</v>
      </c>
      <c r="S1556" s="11"/>
      <c r="T1556" s="11"/>
      <c r="U1556" s="10" t="str">
        <f>HYPERLINK("https://pbs.twimg.com/profile_images/861310973474426880/OZ_YPg7x.jpg","View")</f>
        <v>View</v>
      </c>
    </row>
    <row r="1557" spans="1:21" ht="40.799999999999997">
      <c r="A1557" s="6">
        <v>43439.58112268518</v>
      </c>
      <c r="B1557" s="7" t="str">
        <f>HYPERLINK("https://twitter.com/ladramatizadora","@ladramatizadora")</f>
        <v>@ladramatizadora</v>
      </c>
      <c r="C1557" s="8" t="s">
        <v>5531</v>
      </c>
      <c r="D1557" s="9" t="s">
        <v>5532</v>
      </c>
      <c r="E1557" s="10" t="str">
        <f>HYPERLINK("https://twitter.com/ladramatizadora/status/1070300964219969542","1070300964219969542")</f>
        <v>1070300964219969542</v>
      </c>
      <c r="F1557" s="11"/>
      <c r="G1557" s="11"/>
      <c r="H1557" s="11"/>
      <c r="I1557" s="12">
        <v>0</v>
      </c>
      <c r="J1557" s="12">
        <v>0</v>
      </c>
      <c r="K1557" s="13" t="str">
        <f>HYPERLINK("http://twitter.com","Twitter Web Client")</f>
        <v>Twitter Web Client</v>
      </c>
      <c r="L1557" s="12">
        <v>426</v>
      </c>
      <c r="M1557" s="12">
        <v>1614</v>
      </c>
      <c r="N1557" s="12">
        <v>1</v>
      </c>
      <c r="O1557" s="14"/>
      <c r="P1557" s="6">
        <v>43249.488321759258</v>
      </c>
      <c r="Q1557" s="15" t="s">
        <v>197</v>
      </c>
      <c r="R1557" s="17" t="s">
        <v>5533</v>
      </c>
      <c r="S1557" s="16" t="s">
        <v>5534</v>
      </c>
      <c r="T1557" s="11"/>
      <c r="U1557" s="10" t="str">
        <f>HYPERLINK("https://pbs.twimg.com/profile_images/1068077890103853056/QNG-TUMt.jpg","View")</f>
        <v>View</v>
      </c>
    </row>
    <row r="1558" spans="1:21" ht="40.799999999999997">
      <c r="A1558" s="6">
        <v>43439.5784375</v>
      </c>
      <c r="B1558" s="7" t="str">
        <f>HYPERLINK("https://twitter.com/Paz_Paniagua","@Paz_Paniagua")</f>
        <v>@Paz_Paniagua</v>
      </c>
      <c r="C1558" s="8" t="s">
        <v>5535</v>
      </c>
      <c r="D1558" s="9" t="s">
        <v>5536</v>
      </c>
      <c r="E1558" s="10" t="str">
        <f>HYPERLINK("https://twitter.com/Paz_Paniagua/status/1070299991372115969","1070299991372115969")</f>
        <v>1070299991372115969</v>
      </c>
      <c r="F1558" s="16" t="s">
        <v>5537</v>
      </c>
      <c r="G1558" s="11"/>
      <c r="H1558" s="11"/>
      <c r="I1558" s="12">
        <v>0</v>
      </c>
      <c r="J1558" s="12">
        <v>0</v>
      </c>
      <c r="K1558" s="13" t="str">
        <f>HYPERLINK("http://www.facebook.com/twitter","Facebook")</f>
        <v>Facebook</v>
      </c>
      <c r="L1558" s="12">
        <v>669</v>
      </c>
      <c r="M1558" s="12">
        <v>948</v>
      </c>
      <c r="N1558" s="12">
        <v>10</v>
      </c>
      <c r="O1558" s="14"/>
      <c r="P1558" s="6">
        <v>41380.515092592592</v>
      </c>
      <c r="Q1558" s="11"/>
      <c r="R1558" s="26" t="s">
        <v>5538</v>
      </c>
      <c r="S1558" s="11"/>
      <c r="T1558" s="11"/>
      <c r="U1558" s="10" t="str">
        <f>HYPERLINK("https://pbs.twimg.com/profile_images/735565192554262529/sf57kaJ-.jpg","View")</f>
        <v>View</v>
      </c>
    </row>
    <row r="1559" spans="1:21" ht="51">
      <c r="A1559" s="6">
        <v>43439.577175925922</v>
      </c>
      <c r="B1559" s="7" t="str">
        <f>HYPERLINK("https://twitter.com/merece_saberlo","@merece_saberlo")</f>
        <v>@merece_saberlo</v>
      </c>
      <c r="C1559" s="8" t="s">
        <v>5539</v>
      </c>
      <c r="D1559" s="9" t="s">
        <v>5540</v>
      </c>
      <c r="E1559" s="10" t="str">
        <f>HYPERLINK("https://twitter.com/merece_saberlo/status/1070299532997640193","1070299532997640193")</f>
        <v>1070299532997640193</v>
      </c>
      <c r="F1559" s="11"/>
      <c r="G1559" s="16" t="s">
        <v>5541</v>
      </c>
      <c r="H1559" s="11"/>
      <c r="I1559" s="12">
        <v>22</v>
      </c>
      <c r="J1559" s="12">
        <v>30</v>
      </c>
      <c r="K1559" s="13" t="str">
        <f t="shared" ref="K1559:K1560" si="357">HYPERLINK("http://twitter.com","Twitter Web Client")</f>
        <v>Twitter Web Client</v>
      </c>
      <c r="L1559" s="12">
        <v>22103</v>
      </c>
      <c r="M1559" s="12">
        <v>7938</v>
      </c>
      <c r="N1559" s="12">
        <v>78</v>
      </c>
      <c r="O1559" s="14"/>
      <c r="P1559" s="6">
        <v>41621.703750000001</v>
      </c>
      <c r="Q1559" s="15" t="s">
        <v>197</v>
      </c>
      <c r="R1559" s="17" t="s">
        <v>5542</v>
      </c>
      <c r="S1559" s="16" t="s">
        <v>5543</v>
      </c>
      <c r="T1559" s="11"/>
      <c r="U1559" s="10" t="str">
        <f>HYPERLINK("https://pbs.twimg.com/profile_images/1018102856044503040/AwEEsMyt.jpg","View")</f>
        <v>View</v>
      </c>
    </row>
    <row r="1560" spans="1:21" ht="81.599999999999994">
      <c r="A1560" s="6">
        <v>43439.576805555553</v>
      </c>
      <c r="B1560" s="7" t="str">
        <f>HYPERLINK("https://twitter.com/luciomolina","@luciomolina")</f>
        <v>@luciomolina</v>
      </c>
      <c r="C1560" s="8" t="s">
        <v>5544</v>
      </c>
      <c r="D1560" s="9" t="s">
        <v>5545</v>
      </c>
      <c r="E1560" s="10" t="str">
        <f>HYPERLINK("https://twitter.com/luciomolina/status/1070299398670860289","1070299398670860289")</f>
        <v>1070299398670860289</v>
      </c>
      <c r="F1560" s="16" t="s">
        <v>5546</v>
      </c>
      <c r="G1560" s="11"/>
      <c r="H1560" s="11"/>
      <c r="I1560" s="12">
        <v>1</v>
      </c>
      <c r="J1560" s="12">
        <v>1</v>
      </c>
      <c r="K1560" s="13" t="str">
        <f t="shared" si="357"/>
        <v>Twitter Web Client</v>
      </c>
      <c r="L1560" s="12">
        <v>4020</v>
      </c>
      <c r="M1560" s="12">
        <v>4630</v>
      </c>
      <c r="N1560" s="12">
        <v>40</v>
      </c>
      <c r="O1560" s="14"/>
      <c r="P1560" s="6">
        <v>39864.890057870369</v>
      </c>
      <c r="Q1560" s="15" t="s">
        <v>5547</v>
      </c>
      <c r="R1560" s="17" t="s">
        <v>5548</v>
      </c>
      <c r="S1560" s="11"/>
      <c r="T1560" s="11"/>
      <c r="U1560" s="10" t="str">
        <f>HYPERLINK("https://pbs.twimg.com/profile_images/818409600638734336/FzPf2Ld7.jpg","View")</f>
        <v>View</v>
      </c>
    </row>
    <row r="1561" spans="1:21" ht="51">
      <c r="A1561" s="6">
        <v>43439.576666666668</v>
      </c>
      <c r="B1561" s="7" t="str">
        <f>HYPERLINK("https://twitter.com/TvPlataforma","@TvPlataforma")</f>
        <v>@TvPlataforma</v>
      </c>
      <c r="C1561" s="8" t="s">
        <v>5549</v>
      </c>
      <c r="D1561" s="9" t="s">
        <v>5550</v>
      </c>
      <c r="E1561" s="10" t="str">
        <f>HYPERLINK("https://twitter.com/TvPlataforma/status/1070299349798842368","1070299349798842368")</f>
        <v>1070299349798842368</v>
      </c>
      <c r="F1561" s="11"/>
      <c r="G1561" s="16" t="s">
        <v>5551</v>
      </c>
      <c r="H1561" s="11"/>
      <c r="I1561" s="12">
        <v>33</v>
      </c>
      <c r="J1561" s="12">
        <v>19</v>
      </c>
      <c r="K1561" s="13" t="str">
        <f t="shared" ref="K1561:K1562" si="358">HYPERLINK("http://twitter.com/download/iphone","Twitter for iPhone")</f>
        <v>Twitter for iPhone</v>
      </c>
      <c r="L1561" s="12">
        <v>1845</v>
      </c>
      <c r="M1561" s="12">
        <v>5000</v>
      </c>
      <c r="N1561" s="12">
        <v>9</v>
      </c>
      <c r="O1561" s="14"/>
      <c r="P1561" s="6">
        <v>43377.804641203707</v>
      </c>
      <c r="Q1561" s="11"/>
      <c r="R1561" s="17" t="s">
        <v>5552</v>
      </c>
      <c r="S1561" s="11"/>
      <c r="T1561" s="11"/>
      <c r="U1561" s="10" t="str">
        <f>HYPERLINK("https://pbs.twimg.com/profile_images/1053301934134870017/ZuBUPU4P.jpg","View")</f>
        <v>View</v>
      </c>
    </row>
    <row r="1562" spans="1:21" ht="20.399999999999999">
      <c r="A1562" s="6">
        <v>43439.576145833329</v>
      </c>
      <c r="B1562" s="7" t="str">
        <f>HYPERLINK("https://twitter.com/Gory_L","@Gory_L")</f>
        <v>@Gory_L</v>
      </c>
      <c r="C1562" s="8" t="s">
        <v>5553</v>
      </c>
      <c r="D1562" s="9" t="s">
        <v>5554</v>
      </c>
      <c r="E1562" s="10" t="str">
        <f>HYPERLINK("https://twitter.com/Gory_L/status/1070299158358175744","1070299158358175744")</f>
        <v>1070299158358175744</v>
      </c>
      <c r="F1562" s="11"/>
      <c r="G1562" s="11"/>
      <c r="H1562" s="11"/>
      <c r="I1562" s="12">
        <v>0</v>
      </c>
      <c r="J1562" s="12">
        <v>0</v>
      </c>
      <c r="K1562" s="13" t="str">
        <f t="shared" si="358"/>
        <v>Twitter for iPhone</v>
      </c>
      <c r="L1562" s="12">
        <v>566</v>
      </c>
      <c r="M1562" s="12">
        <v>1632</v>
      </c>
      <c r="N1562" s="12">
        <v>10</v>
      </c>
      <c r="O1562" s="14"/>
      <c r="P1562" s="6">
        <v>41247.759120370371</v>
      </c>
      <c r="Q1562" s="15" t="s">
        <v>5555</v>
      </c>
      <c r="R1562" s="17" t="s">
        <v>5556</v>
      </c>
      <c r="S1562" s="11"/>
      <c r="T1562" s="11"/>
      <c r="U1562" s="10" t="str">
        <f>HYPERLINK("https://pbs.twimg.com/profile_images/1066249955743072256/D9FqPvmK.jpg","View")</f>
        <v>View</v>
      </c>
    </row>
    <row r="1563" spans="1:21" ht="40.799999999999997">
      <c r="A1563" s="6">
        <v>43439.575497685189</v>
      </c>
      <c r="B1563" s="7" t="str">
        <f>HYPERLINK("https://twitter.com/SergioQ1ta","@SergioQ1ta")</f>
        <v>@SergioQ1ta</v>
      </c>
      <c r="C1563" s="8" t="s">
        <v>5557</v>
      </c>
      <c r="D1563" s="9" t="s">
        <v>5558</v>
      </c>
      <c r="E1563" s="10" t="str">
        <f>HYPERLINK("https://twitter.com/SergioQ1ta/status/1070298923271622656","1070298923271622656")</f>
        <v>1070298923271622656</v>
      </c>
      <c r="F1563" s="11"/>
      <c r="G1563" s="11"/>
      <c r="H1563" s="11"/>
      <c r="I1563" s="12">
        <v>0</v>
      </c>
      <c r="J1563" s="12">
        <v>0</v>
      </c>
      <c r="K1563" s="13" t="str">
        <f>HYPERLINK("http://twitter.com","Twitter Web Client")</f>
        <v>Twitter Web Client</v>
      </c>
      <c r="L1563" s="12">
        <v>916</v>
      </c>
      <c r="M1563" s="12">
        <v>1221</v>
      </c>
      <c r="N1563" s="12">
        <v>3</v>
      </c>
      <c r="O1563" s="14"/>
      <c r="P1563" s="6">
        <v>42820.68677083333</v>
      </c>
      <c r="Q1563" s="15" t="s">
        <v>5559</v>
      </c>
      <c r="R1563" s="17" t="s">
        <v>5560</v>
      </c>
      <c r="S1563" s="11"/>
      <c r="T1563" s="11"/>
      <c r="U1563" s="10" t="str">
        <f>HYPERLINK("https://pbs.twimg.com/profile_images/1018627910226325504/r9QzrG3b.jpg","View")</f>
        <v>View</v>
      </c>
    </row>
    <row r="1564" spans="1:21" ht="81.599999999999994">
      <c r="A1564" s="6">
        <v>43439.575370370367</v>
      </c>
      <c r="B1564" s="7" t="str">
        <f>HYPERLINK("https://twitter.com/VoltEspana","@VoltEspana")</f>
        <v>@VoltEspana</v>
      </c>
      <c r="C1564" s="8" t="s">
        <v>5561</v>
      </c>
      <c r="D1564" s="9" t="s">
        <v>5562</v>
      </c>
      <c r="E1564" s="10" t="str">
        <f>HYPERLINK("https://twitter.com/VoltEspana/status/1070298877704749057","1070298877704749057")</f>
        <v>1070298877704749057</v>
      </c>
      <c r="F1564" s="16" t="s">
        <v>5563</v>
      </c>
      <c r="G1564" s="16" t="s">
        <v>5564</v>
      </c>
      <c r="H1564" s="11"/>
      <c r="I1564" s="12">
        <v>1</v>
      </c>
      <c r="J1564" s="12">
        <v>2</v>
      </c>
      <c r="K1564" s="13" t="str">
        <f>HYPERLINK("http://twitter.com/download/android","Twitter for Android")</f>
        <v>Twitter for Android</v>
      </c>
      <c r="L1564" s="12">
        <v>959</v>
      </c>
      <c r="M1564" s="12">
        <v>1557</v>
      </c>
      <c r="N1564" s="12">
        <v>11</v>
      </c>
      <c r="O1564" s="14"/>
      <c r="P1564" s="6">
        <v>43283.63180555556</v>
      </c>
      <c r="Q1564" s="15" t="s">
        <v>197</v>
      </c>
      <c r="R1564" s="17" t="s">
        <v>5565</v>
      </c>
      <c r="S1564" s="16" t="s">
        <v>5566</v>
      </c>
      <c r="T1564" s="11"/>
      <c r="U1564" s="10" t="str">
        <f>HYPERLINK("https://pbs.twimg.com/profile_images/1057402376284442624/1vOFJiIV.jpg","View")</f>
        <v>View</v>
      </c>
    </row>
    <row r="1565" spans="1:21" ht="40.799999999999997">
      <c r="A1565" s="6">
        <v>43439.574537037042</v>
      </c>
      <c r="B1565" s="7" t="str">
        <f>HYPERLINK("https://twitter.com/Guardrogas","@Guardrogas")</f>
        <v>@Guardrogas</v>
      </c>
      <c r="C1565" s="8" t="s">
        <v>4374</v>
      </c>
      <c r="D1565" s="9" t="s">
        <v>5567</v>
      </c>
      <c r="E1565" s="10" t="str">
        <f>HYPERLINK("https://twitter.com/Guardrogas/status/1070298576046186496","1070298576046186496")</f>
        <v>1070298576046186496</v>
      </c>
      <c r="F1565" s="16" t="s">
        <v>5568</v>
      </c>
      <c r="G1565" s="16" t="s">
        <v>5569</v>
      </c>
      <c r="H1565" s="11"/>
      <c r="I1565" s="12">
        <v>0</v>
      </c>
      <c r="J1565" s="12">
        <v>1</v>
      </c>
      <c r="K1565" s="13" t="str">
        <f>HYPERLINK("http://twitter.com/download/iphone","Twitter for iPhone")</f>
        <v>Twitter for iPhone</v>
      </c>
      <c r="L1565" s="12">
        <v>278</v>
      </c>
      <c r="M1565" s="12">
        <v>157</v>
      </c>
      <c r="N1565" s="12">
        <v>5</v>
      </c>
      <c r="O1565" s="14"/>
      <c r="P1565" s="6">
        <v>41729.957835648151</v>
      </c>
      <c r="Q1565" s="15" t="s">
        <v>5570</v>
      </c>
      <c r="R1565" s="17" t="s">
        <v>5571</v>
      </c>
      <c r="S1565" s="11"/>
      <c r="T1565" s="11"/>
      <c r="U1565" s="10" t="str">
        <f>HYPERLINK("https://pbs.twimg.com/profile_images/984565025850429440/d61Oo5vE.jpg","View")</f>
        <v>View</v>
      </c>
    </row>
    <row r="1566" spans="1:21" ht="51">
      <c r="A1566" s="6">
        <v>43439.57304398148</v>
      </c>
      <c r="B1566" s="7" t="str">
        <f>HYPERLINK("https://twitter.com/angeltxele","@angeltxele")</f>
        <v>@angeltxele</v>
      </c>
      <c r="C1566" s="8" t="s">
        <v>41</v>
      </c>
      <c r="D1566" s="9" t="s">
        <v>5572</v>
      </c>
      <c r="E1566" s="10" t="str">
        <f>HYPERLINK("https://twitter.com/angeltxele/status/1070298034121129990","1070298034121129990")</f>
        <v>1070298034121129990</v>
      </c>
      <c r="F1566" s="11"/>
      <c r="G1566" s="16" t="s">
        <v>5573</v>
      </c>
      <c r="H1566" s="11"/>
      <c r="I1566" s="12">
        <v>0</v>
      </c>
      <c r="J1566" s="12">
        <v>0</v>
      </c>
      <c r="K1566" s="13" t="str">
        <f>HYPERLINK("http://twitter.com/download/android","Twitter for Android")</f>
        <v>Twitter for Android</v>
      </c>
      <c r="L1566" s="12">
        <v>1742</v>
      </c>
      <c r="M1566" s="12">
        <v>744</v>
      </c>
      <c r="N1566" s="12">
        <v>22</v>
      </c>
      <c r="O1566" s="14"/>
      <c r="P1566" s="6">
        <v>41683.928414351853</v>
      </c>
      <c r="Q1566" s="11"/>
      <c r="R1566" s="17" t="s">
        <v>47</v>
      </c>
      <c r="S1566" s="11"/>
      <c r="T1566" s="11"/>
      <c r="U1566" s="10" t="str">
        <f>HYPERLINK("https://pbs.twimg.com/profile_images/1030219252970803200/VKfYnL-p.jpg","View")</f>
        <v>View</v>
      </c>
    </row>
    <row r="1567" spans="1:21" ht="71.400000000000006">
      <c r="A1567" s="6">
        <v>43439.572164351848</v>
      </c>
      <c r="B1567" s="7" t="str">
        <f>HYPERLINK("https://twitter.com/ainhoamenta","@ainhoamenta")</f>
        <v>@ainhoamenta</v>
      </c>
      <c r="C1567" s="8" t="s">
        <v>5574</v>
      </c>
      <c r="D1567" s="9" t="s">
        <v>5575</v>
      </c>
      <c r="E1567" s="10" t="str">
        <f>HYPERLINK("https://twitter.com/ainhoamenta/status/1070297718688546816","1070297718688546816")</f>
        <v>1070297718688546816</v>
      </c>
      <c r="F1567" s="15" t="s">
        <v>5576</v>
      </c>
      <c r="G1567" s="11"/>
      <c r="H1567" s="11"/>
      <c r="I1567" s="12">
        <v>0</v>
      </c>
      <c r="J1567" s="12">
        <v>1</v>
      </c>
      <c r="K1567" s="13" t="str">
        <f>HYPERLINK("http://twitter.com/download/iphone","Twitter for iPhone")</f>
        <v>Twitter for iPhone</v>
      </c>
      <c r="L1567" s="12">
        <v>13</v>
      </c>
      <c r="M1567" s="12">
        <v>95</v>
      </c>
      <c r="N1567" s="12">
        <v>0</v>
      </c>
      <c r="O1567" s="14"/>
      <c r="P1567" s="6">
        <v>43365.527546296296</v>
      </c>
      <c r="Q1567" s="15" t="s">
        <v>5577</v>
      </c>
      <c r="R1567" s="17" t="s">
        <v>5578</v>
      </c>
      <c r="S1567" s="11"/>
      <c r="T1567" s="11"/>
      <c r="U1567" s="10" t="str">
        <f>HYPERLINK("https://pbs.twimg.com/profile_images/1043450738389798912/cpW69zJl.jpg","View")</f>
        <v>View</v>
      </c>
    </row>
    <row r="1568" spans="1:21" ht="40.799999999999997">
      <c r="A1568" s="6">
        <v>43439.572164351848</v>
      </c>
      <c r="B1568" s="7" t="str">
        <f>HYPERLINK("https://twitter.com/Jardiner_","@Jardiner_")</f>
        <v>@Jardiner_</v>
      </c>
      <c r="C1568" s="8" t="s">
        <v>393</v>
      </c>
      <c r="D1568" s="9" t="s">
        <v>5579</v>
      </c>
      <c r="E1568" s="10" t="str">
        <f>HYPERLINK("https://twitter.com/Jardiner_/status/1070297716490674176","1070297716490674176")</f>
        <v>1070297716490674176</v>
      </c>
      <c r="F1568" s="11"/>
      <c r="G1568" s="11"/>
      <c r="H1568" s="11"/>
      <c r="I1568" s="12">
        <v>197</v>
      </c>
      <c r="J1568" s="12">
        <v>361</v>
      </c>
      <c r="K1568" s="13" t="str">
        <f t="shared" ref="K1568:K1569" si="359">HYPERLINK("http://twitter.com/download/android","Twitter for Android")</f>
        <v>Twitter for Android</v>
      </c>
      <c r="L1568" s="12">
        <v>9592</v>
      </c>
      <c r="M1568" s="12">
        <v>383</v>
      </c>
      <c r="N1568" s="12">
        <v>104</v>
      </c>
      <c r="O1568" s="14"/>
      <c r="P1568" s="6">
        <v>41676.696099537039</v>
      </c>
      <c r="Q1568" s="15" t="s">
        <v>395</v>
      </c>
      <c r="R1568" s="17" t="s">
        <v>396</v>
      </c>
      <c r="S1568" s="11"/>
      <c r="T1568" s="11"/>
      <c r="U1568" s="10" t="str">
        <f>HYPERLINK("https://pbs.twimg.com/profile_images/1056488150925787136/N7j0Y8mC.jpg","View")</f>
        <v>View</v>
      </c>
    </row>
    <row r="1569" spans="1:21" ht="40.799999999999997">
      <c r="A1569" s="6">
        <v>43439.571828703702</v>
      </c>
      <c r="B1569" s="7" t="str">
        <f>HYPERLINK("https://twitter.com/Xuxatronnn","@Xuxatronnn")</f>
        <v>@Xuxatronnn</v>
      </c>
      <c r="C1569" s="8" t="s">
        <v>5580</v>
      </c>
      <c r="D1569" s="9" t="s">
        <v>5581</v>
      </c>
      <c r="E1569" s="10" t="str">
        <f>HYPERLINK("https://twitter.com/Xuxatronnn/status/1070297596869140480","1070297596869140480")</f>
        <v>1070297596869140480</v>
      </c>
      <c r="F1569" s="11"/>
      <c r="G1569" s="11"/>
      <c r="H1569" s="11"/>
      <c r="I1569" s="12">
        <v>0</v>
      </c>
      <c r="J1569" s="12">
        <v>0</v>
      </c>
      <c r="K1569" s="13" t="str">
        <f t="shared" si="359"/>
        <v>Twitter for Android</v>
      </c>
      <c r="L1569" s="12">
        <v>971</v>
      </c>
      <c r="M1569" s="12">
        <v>918</v>
      </c>
      <c r="N1569" s="12">
        <v>10</v>
      </c>
      <c r="O1569" s="14"/>
      <c r="P1569" s="6">
        <v>42490.89707175926</v>
      </c>
      <c r="Q1569" s="11"/>
      <c r="R1569" s="17" t="s">
        <v>5582</v>
      </c>
      <c r="S1569" s="11"/>
      <c r="T1569" s="11"/>
      <c r="U1569" s="10" t="str">
        <f>HYPERLINK("https://pbs.twimg.com/profile_images/914584332815224835/YbW49TKK.jpg","View")</f>
        <v>View</v>
      </c>
    </row>
    <row r="1570" spans="1:21" ht="40.799999999999997">
      <c r="A1570" s="6">
        <v>43439.571180555555</v>
      </c>
      <c r="B1570" s="7" t="str">
        <f>HYPERLINK("https://twitter.com/VitoFibonacci","@VitoFibonacci")</f>
        <v>@VitoFibonacci</v>
      </c>
      <c r="C1570" s="8" t="s">
        <v>5583</v>
      </c>
      <c r="D1570" s="9" t="s">
        <v>5584</v>
      </c>
      <c r="E1570" s="10" t="str">
        <f>HYPERLINK("https://twitter.com/VitoFibonacci/status/1070297360780148736","1070297360780148736")</f>
        <v>1070297360780148736</v>
      </c>
      <c r="F1570" s="11"/>
      <c r="G1570" s="11"/>
      <c r="H1570" s="11"/>
      <c r="I1570" s="12">
        <v>0</v>
      </c>
      <c r="J1570" s="12">
        <v>1</v>
      </c>
      <c r="K1570" s="13" t="str">
        <f t="shared" ref="K1570:K1571" si="360">HYPERLINK("http://twitter.com","Twitter Web Client")</f>
        <v>Twitter Web Client</v>
      </c>
      <c r="L1570" s="12">
        <v>555</v>
      </c>
      <c r="M1570" s="12">
        <v>851</v>
      </c>
      <c r="N1570" s="12">
        <v>0</v>
      </c>
      <c r="O1570" s="14"/>
      <c r="P1570" s="6">
        <v>43349.742766203708</v>
      </c>
      <c r="Q1570" s="11"/>
      <c r="R1570" s="17" t="s">
        <v>5585</v>
      </c>
      <c r="S1570" s="11"/>
      <c r="T1570" s="11"/>
      <c r="U1570" s="10" t="str">
        <f>HYPERLINK("https://pbs.twimg.com/profile_images/1037874477483401217/WJMmab0i.jpg","View")</f>
        <v>View</v>
      </c>
    </row>
    <row r="1571" spans="1:21" ht="51">
      <c r="A1571" s="6">
        <v>43439.569826388892</v>
      </c>
      <c r="B1571" s="7" t="str">
        <f>HYPERLINK("https://twitter.com/Innisfree_ed","@Innisfree_ed")</f>
        <v>@Innisfree_ed</v>
      </c>
      <c r="C1571" s="8" t="s">
        <v>5586</v>
      </c>
      <c r="D1571" s="9" t="s">
        <v>5587</v>
      </c>
      <c r="E1571" s="10" t="str">
        <f>HYPERLINK("https://twitter.com/Innisfree_ed/status/1070296869857828864","1070296869857828864")</f>
        <v>1070296869857828864</v>
      </c>
      <c r="F1571" s="16" t="s">
        <v>5588</v>
      </c>
      <c r="G1571" s="16" t="s">
        <v>5589</v>
      </c>
      <c r="H1571" s="11"/>
      <c r="I1571" s="12">
        <v>0</v>
      </c>
      <c r="J1571" s="12">
        <v>2</v>
      </c>
      <c r="K1571" s="13" t="str">
        <f t="shared" si="360"/>
        <v>Twitter Web Client</v>
      </c>
      <c r="L1571" s="12">
        <v>353</v>
      </c>
      <c r="M1571" s="12">
        <v>26</v>
      </c>
      <c r="N1571" s="12">
        <v>6</v>
      </c>
      <c r="O1571" s="14"/>
      <c r="P1571" s="6">
        <v>41567.689166666663</v>
      </c>
      <c r="Q1571" s="15" t="s">
        <v>612</v>
      </c>
      <c r="R1571" s="17" t="s">
        <v>5590</v>
      </c>
      <c r="S1571" s="11"/>
      <c r="T1571" s="11"/>
      <c r="U1571" s="10" t="str">
        <f>HYPERLINK("https://pbs.twimg.com/profile_images/1051538420349235200/nqwGlPRX.jpg","View")</f>
        <v>View</v>
      </c>
    </row>
    <row r="1572" spans="1:21" ht="30.6">
      <c r="A1572" s="6">
        <v>43439.568333333329</v>
      </c>
      <c r="B1572" s="7" t="str">
        <f>HYPERLINK("https://twitter.com/Lascopeta","@Lascopeta")</f>
        <v>@Lascopeta</v>
      </c>
      <c r="C1572" s="8" t="s">
        <v>5591</v>
      </c>
      <c r="D1572" s="9" t="s">
        <v>5592</v>
      </c>
      <c r="E1572" s="10" t="str">
        <f>HYPERLINK("https://twitter.com/Lascopeta/status/1070296330172579842","1070296330172579842")</f>
        <v>1070296330172579842</v>
      </c>
      <c r="F1572" s="11"/>
      <c r="G1572" s="11"/>
      <c r="H1572" s="11"/>
      <c r="I1572" s="12">
        <v>1</v>
      </c>
      <c r="J1572" s="12">
        <v>4</v>
      </c>
      <c r="K1572" s="13" t="str">
        <f>HYPERLINK("http://twitter.com/download/android","Twitter for Android")</f>
        <v>Twitter for Android</v>
      </c>
      <c r="L1572" s="12">
        <v>3356</v>
      </c>
      <c r="M1572" s="12">
        <v>846</v>
      </c>
      <c r="N1572" s="12">
        <v>71</v>
      </c>
      <c r="O1572" s="14"/>
      <c r="P1572" s="6">
        <v>40618.855173611111</v>
      </c>
      <c r="Q1572" s="15" t="s">
        <v>5593</v>
      </c>
      <c r="R1572" s="17" t="s">
        <v>5594</v>
      </c>
      <c r="S1572" s="16" t="s">
        <v>5595</v>
      </c>
      <c r="T1572" s="11"/>
      <c r="U1572" s="10" t="str">
        <f>HYPERLINK("https://pbs.twimg.com/profile_images/914118519272411138/eW9gfRWa.jpg","View")</f>
        <v>View</v>
      </c>
    </row>
    <row r="1573" spans="1:21" ht="51">
      <c r="A1573" s="6">
        <v>43439.567500000005</v>
      </c>
      <c r="B1573" s="7" t="str">
        <f>HYPERLINK("https://twitter.com/blete","@blete")</f>
        <v>@blete</v>
      </c>
      <c r="C1573" s="8" t="s">
        <v>5596</v>
      </c>
      <c r="D1573" s="9" t="s">
        <v>5597</v>
      </c>
      <c r="E1573" s="10" t="str">
        <f>HYPERLINK("https://twitter.com/blete/status/1070296027893260288","1070296027893260288")</f>
        <v>1070296027893260288</v>
      </c>
      <c r="F1573" s="15" t="s">
        <v>5598</v>
      </c>
      <c r="G1573" s="11"/>
      <c r="H1573" s="11"/>
      <c r="I1573" s="12">
        <v>0</v>
      </c>
      <c r="J1573" s="12">
        <v>0</v>
      </c>
      <c r="K1573" s="13" t="str">
        <f t="shared" ref="K1573:K1574" si="361">HYPERLINK("http://twitter.com/download/iphone","Twitter for iPhone")</f>
        <v>Twitter for iPhone</v>
      </c>
      <c r="L1573" s="12">
        <v>631</v>
      </c>
      <c r="M1573" s="12">
        <v>1040</v>
      </c>
      <c r="N1573" s="12">
        <v>30</v>
      </c>
      <c r="O1573" s="14"/>
      <c r="P1573" s="6">
        <v>39464.675671296296</v>
      </c>
      <c r="Q1573" s="15" t="s">
        <v>5599</v>
      </c>
      <c r="R1573" s="17" t="s">
        <v>5600</v>
      </c>
      <c r="S1573" s="11"/>
      <c r="T1573" s="11"/>
      <c r="U1573" s="10" t="str">
        <f>HYPERLINK("https://pbs.twimg.com/profile_images/1005149915058786304/bbd-UPvu.jpg","View")</f>
        <v>View</v>
      </c>
    </row>
    <row r="1574" spans="1:21" ht="20.399999999999999">
      <c r="A1574" s="6">
        <v>43439.566006944442</v>
      </c>
      <c r="B1574" s="7" t="str">
        <f>HYPERLINK("https://twitter.com/GobiernoEspanol","@GobiernoEspanol")</f>
        <v>@GobiernoEspanol</v>
      </c>
      <c r="C1574" s="8" t="s">
        <v>5601</v>
      </c>
      <c r="D1574" s="9" t="s">
        <v>5602</v>
      </c>
      <c r="E1574" s="10" t="str">
        <f>HYPERLINK("https://twitter.com/GobiernoEspanol/status/1070295486215675904","1070295486215675904")</f>
        <v>1070295486215675904</v>
      </c>
      <c r="F1574" s="11"/>
      <c r="G1574" s="11"/>
      <c r="H1574" s="11"/>
      <c r="I1574" s="12">
        <v>0</v>
      </c>
      <c r="J1574" s="12">
        <v>0</v>
      </c>
      <c r="K1574" s="13" t="str">
        <f t="shared" si="361"/>
        <v>Twitter for iPhone</v>
      </c>
      <c r="L1574" s="12">
        <v>1671</v>
      </c>
      <c r="M1574" s="12">
        <v>97</v>
      </c>
      <c r="N1574" s="12">
        <v>48</v>
      </c>
      <c r="O1574" s="14"/>
      <c r="P1574" s="6">
        <v>39966.661493055552</v>
      </c>
      <c r="Q1574" s="15" t="s">
        <v>5603</v>
      </c>
      <c r="R1574" s="17" t="s">
        <v>5604</v>
      </c>
      <c r="S1574" s="11"/>
      <c r="T1574" s="11"/>
      <c r="U1574" s="10" t="str">
        <f>HYPERLINK("https://pbs.twimg.com/profile_images/246528337/300px-Escudo_de_Espa_C3_B1a_svg.png","View")</f>
        <v>View</v>
      </c>
    </row>
    <row r="1575" spans="1:21" ht="40.799999999999997">
      <c r="A1575" s="6">
        <v>43439.561400462961</v>
      </c>
      <c r="B1575" s="7" t="str">
        <f>HYPERLINK("https://twitter.com/VOXSevilla","@VOXSevilla")</f>
        <v>@VOXSevilla</v>
      </c>
      <c r="C1575" s="8" t="s">
        <v>5605</v>
      </c>
      <c r="D1575" s="9" t="s">
        <v>5606</v>
      </c>
      <c r="E1575" s="10" t="str">
        <f>HYPERLINK("https://twitter.com/VOXSevilla/status/1070293818023522304","1070293818023522304")</f>
        <v>1070293818023522304</v>
      </c>
      <c r="F1575" s="16" t="s">
        <v>5607</v>
      </c>
      <c r="G1575" s="11"/>
      <c r="H1575" s="11"/>
      <c r="I1575" s="12">
        <v>45</v>
      </c>
      <c r="J1575" s="12">
        <v>75</v>
      </c>
      <c r="K1575" s="13" t="str">
        <f>HYPERLINK("http://twitter.com/download/android","Twitter for Android")</f>
        <v>Twitter for Android</v>
      </c>
      <c r="L1575" s="12">
        <v>9194</v>
      </c>
      <c r="M1575" s="12">
        <v>1578</v>
      </c>
      <c r="N1575" s="12">
        <v>68</v>
      </c>
      <c r="O1575" s="14"/>
      <c r="P1575" s="6">
        <v>41691.750023148146</v>
      </c>
      <c r="Q1575" s="15" t="s">
        <v>5608</v>
      </c>
      <c r="R1575" s="17" t="s">
        <v>5609</v>
      </c>
      <c r="S1575" s="16" t="s">
        <v>5610</v>
      </c>
      <c r="T1575" s="11"/>
      <c r="U1575" s="10" t="str">
        <f>HYPERLINK("https://pbs.twimg.com/profile_images/984861064704774146/oJ_70XfQ.jpg","View")</f>
        <v>View</v>
      </c>
    </row>
    <row r="1576" spans="1:21" ht="51">
      <c r="A1576" s="6">
        <v>43439.560243055559</v>
      </c>
      <c r="B1576" s="7" t="str">
        <f>HYPERLINK("https://twitter.com/mariajoseCANEL","@mariajoseCANEL")</f>
        <v>@mariajoseCANEL</v>
      </c>
      <c r="C1576" s="8" t="s">
        <v>5611</v>
      </c>
      <c r="D1576" s="9" t="s">
        <v>5612</v>
      </c>
      <c r="E1576" s="10" t="str">
        <f>HYPERLINK("https://twitter.com/mariajoseCANEL/status/1070293394927312897","1070293394927312897")</f>
        <v>1070293394927312897</v>
      </c>
      <c r="F1576" s="11"/>
      <c r="G1576" s="11"/>
      <c r="H1576" s="11"/>
      <c r="I1576" s="12">
        <v>2</v>
      </c>
      <c r="J1576" s="12">
        <v>6</v>
      </c>
      <c r="K1576" s="13" t="str">
        <f>HYPERLINK("http://twitter.com","Twitter Web Client")</f>
        <v>Twitter Web Client</v>
      </c>
      <c r="L1576" s="12">
        <v>6034</v>
      </c>
      <c r="M1576" s="12">
        <v>472</v>
      </c>
      <c r="N1576" s="12">
        <v>264</v>
      </c>
      <c r="O1576" s="14"/>
      <c r="P1576" s="6">
        <v>40814.740995370368</v>
      </c>
      <c r="Q1576" s="15" t="s">
        <v>612</v>
      </c>
      <c r="R1576" s="17" t="s">
        <v>5613</v>
      </c>
      <c r="S1576" s="16" t="s">
        <v>5614</v>
      </c>
      <c r="T1576" s="11"/>
      <c r="U1576" s="10" t="str">
        <f>HYPERLINK("https://pbs.twimg.com/profile_images/1050945273399148544/Q8ihhNPE.jpg","View")</f>
        <v>View</v>
      </c>
    </row>
    <row r="1577" spans="1:21" ht="20.399999999999999">
      <c r="A1577" s="6">
        <v>43439.560046296298</v>
      </c>
      <c r="B1577" s="7" t="str">
        <f>HYPERLINK("https://twitter.com/Cantabria24h","@Cantabria24h")</f>
        <v>@Cantabria24h</v>
      </c>
      <c r="C1577" s="8" t="s">
        <v>5615</v>
      </c>
      <c r="D1577" s="9" t="s">
        <v>5616</v>
      </c>
      <c r="E1577" s="10" t="str">
        <f>HYPERLINK("https://twitter.com/Cantabria24h/status/1070293324320260096","1070293324320260096")</f>
        <v>1070293324320260096</v>
      </c>
      <c r="F1577" s="16" t="s">
        <v>5617</v>
      </c>
      <c r="G1577" s="11"/>
      <c r="H1577" s="11"/>
      <c r="I1577" s="12">
        <v>0</v>
      </c>
      <c r="J1577" s="12">
        <v>1</v>
      </c>
      <c r="K1577" s="13" t="str">
        <f>HYPERLINK("https://about.twitter.com/products/tweetdeck","TweetDeck")</f>
        <v>TweetDeck</v>
      </c>
      <c r="L1577" s="12">
        <v>5280</v>
      </c>
      <c r="M1577" s="12">
        <v>719</v>
      </c>
      <c r="N1577" s="12">
        <v>108</v>
      </c>
      <c r="O1577" s="14"/>
      <c r="P1577" s="6">
        <v>40856.742025462961</v>
      </c>
      <c r="Q1577" s="15" t="s">
        <v>5618</v>
      </c>
      <c r="R1577" s="17" t="s">
        <v>5619</v>
      </c>
      <c r="S1577" s="16" t="s">
        <v>5620</v>
      </c>
      <c r="T1577" s="11"/>
      <c r="U1577" s="10" t="str">
        <f>HYPERLINK("https://pbs.twimg.com/profile_images/1678758146/logo_twitter.jpg","View")</f>
        <v>View</v>
      </c>
    </row>
    <row r="1578" spans="1:21" ht="51">
      <c r="A1578" s="6">
        <v>43439.559687500005</v>
      </c>
      <c r="B1578" s="7" t="str">
        <f>HYPERLINK("https://twitter.com/jaimepereira","@jaimepereira")</f>
        <v>@jaimepereira</v>
      </c>
      <c r="C1578" s="8" t="s">
        <v>5621</v>
      </c>
      <c r="D1578" s="9" t="s">
        <v>5622</v>
      </c>
      <c r="E1578" s="10" t="str">
        <f>HYPERLINK("https://twitter.com/jaimepereira/status/1070293193244184581","1070293193244184581")</f>
        <v>1070293193244184581</v>
      </c>
      <c r="F1578" s="16" t="s">
        <v>5623</v>
      </c>
      <c r="G1578" s="11"/>
      <c r="H1578" s="11"/>
      <c r="I1578" s="12">
        <v>0</v>
      </c>
      <c r="J1578" s="12">
        <v>0</v>
      </c>
      <c r="K1578" s="13" t="str">
        <f>HYPERLINK("http://twitter.com","Twitter Web Client")</f>
        <v>Twitter Web Client</v>
      </c>
      <c r="L1578" s="12">
        <v>3530</v>
      </c>
      <c r="M1578" s="12">
        <v>673</v>
      </c>
      <c r="N1578" s="12">
        <v>264</v>
      </c>
      <c r="O1578" s="14"/>
      <c r="P1578" s="6">
        <v>39933.76462962963</v>
      </c>
      <c r="Q1578" s="15" t="s">
        <v>5624</v>
      </c>
      <c r="R1578" s="17" t="s">
        <v>5625</v>
      </c>
      <c r="S1578" s="16" t="s">
        <v>5626</v>
      </c>
      <c r="T1578" s="11"/>
      <c r="U1578" s="10" t="str">
        <f>HYPERLINK("https://pbs.twimg.com/profile_images/922738158114045953/ho879Rtc.jpg","View")</f>
        <v>View</v>
      </c>
    </row>
    <row r="1579" spans="1:21" ht="30.6">
      <c r="A1579" s="6">
        <v>43439.558599537035</v>
      </c>
      <c r="B1579" s="7" t="str">
        <f>HYPERLINK("https://twitter.com/yanopodomas","@yanopodomas")</f>
        <v>@yanopodomas</v>
      </c>
      <c r="C1579" s="8" t="s">
        <v>5627</v>
      </c>
      <c r="D1579" s="9" t="s">
        <v>5628</v>
      </c>
      <c r="E1579" s="10" t="str">
        <f>HYPERLINK("https://twitter.com/yanopodomas/status/1070292800007217154","1070292800007217154")</f>
        <v>1070292800007217154</v>
      </c>
      <c r="F1579" s="11"/>
      <c r="G1579" s="11"/>
      <c r="H1579" s="11"/>
      <c r="I1579" s="12">
        <v>0</v>
      </c>
      <c r="J1579" s="12">
        <v>0</v>
      </c>
      <c r="K1579" s="13" t="str">
        <f>HYPERLINK("http://twitter.com/download/iphone","Twitter for iPhone")</f>
        <v>Twitter for iPhone</v>
      </c>
      <c r="L1579" s="12">
        <v>13</v>
      </c>
      <c r="M1579" s="12">
        <v>42</v>
      </c>
      <c r="N1579" s="12">
        <v>0</v>
      </c>
      <c r="O1579" s="14"/>
      <c r="P1579" s="6">
        <v>42915.566909722227</v>
      </c>
      <c r="Q1579" s="15" t="s">
        <v>5629</v>
      </c>
      <c r="R1579" s="17" t="s">
        <v>5630</v>
      </c>
      <c r="S1579" s="11"/>
      <c r="T1579" s="11"/>
      <c r="U1579" s="10" t="str">
        <f>HYPERLINK("https://pbs.twimg.com/profile_images/990177901977972741/xuzZdxet.jpg","View")</f>
        <v>View</v>
      </c>
    </row>
    <row r="1580" spans="1:21" ht="51">
      <c r="A1580" s="6">
        <v>43439.556747685187</v>
      </c>
      <c r="B1580" s="7" t="str">
        <f>HYPERLINK("https://twitter.com/JamesNavaCom","@JamesNavaCom")</f>
        <v>@JamesNavaCom</v>
      </c>
      <c r="C1580" s="8" t="s">
        <v>5631</v>
      </c>
      <c r="D1580" s="9" t="s">
        <v>5632</v>
      </c>
      <c r="E1580" s="10" t="str">
        <f>HYPERLINK("https://twitter.com/JamesNavaCom/status/1070292131330318337","1070292131330318337")</f>
        <v>1070292131330318337</v>
      </c>
      <c r="F1580" s="11"/>
      <c r="G1580" s="16" t="s">
        <v>5633</v>
      </c>
      <c r="H1580" s="11"/>
      <c r="I1580" s="12">
        <v>0</v>
      </c>
      <c r="J1580" s="12">
        <v>7</v>
      </c>
      <c r="K1580" s="13" t="str">
        <f>HYPERLINK("http://twitter.com","Twitter Web Client")</f>
        <v>Twitter Web Client</v>
      </c>
      <c r="L1580" s="12">
        <v>6565</v>
      </c>
      <c r="M1580" s="12">
        <v>5494</v>
      </c>
      <c r="N1580" s="12">
        <v>85</v>
      </c>
      <c r="O1580" s="14"/>
      <c r="P1580" s="6">
        <v>40036.006296296298</v>
      </c>
      <c r="Q1580" s="15" t="s">
        <v>1340</v>
      </c>
      <c r="R1580" s="17" t="s">
        <v>5634</v>
      </c>
      <c r="S1580" s="16" t="s">
        <v>5635</v>
      </c>
      <c r="T1580" s="11"/>
      <c r="U1580" s="10" t="str">
        <f>HYPERLINK("https://pbs.twimg.com/profile_images/805047904310329348/G3o_4yTd.jpg","View")</f>
        <v>View</v>
      </c>
    </row>
    <row r="1581" spans="1:21" ht="30.6">
      <c r="A1581" s="6">
        <v>43439.553090277783</v>
      </c>
      <c r="B1581" s="7" t="str">
        <f>HYPERLINK("https://twitter.com/josemanuelorus","@josemanuelorus")</f>
        <v>@josemanuelorus</v>
      </c>
      <c r="C1581" s="8" t="s">
        <v>5636</v>
      </c>
      <c r="D1581" s="9" t="s">
        <v>5637</v>
      </c>
      <c r="E1581" s="10" t="str">
        <f>HYPERLINK("https://twitter.com/josemanuelorus/status/1070290803518509057","1070290803518509057")</f>
        <v>1070290803518509057</v>
      </c>
      <c r="F1581" s="16" t="s">
        <v>5638</v>
      </c>
      <c r="G1581" s="11"/>
      <c r="H1581" s="11"/>
      <c r="I1581" s="12">
        <v>0</v>
      </c>
      <c r="J1581" s="12">
        <v>0</v>
      </c>
      <c r="K1581" s="13" t="str">
        <f>HYPERLINK("https://www.google.com/","Google")</f>
        <v>Google</v>
      </c>
      <c r="L1581" s="12">
        <v>382</v>
      </c>
      <c r="M1581" s="12">
        <v>1433</v>
      </c>
      <c r="N1581" s="12">
        <v>4</v>
      </c>
      <c r="O1581" s="14"/>
      <c r="P1581" s="6">
        <v>40863.816643518519</v>
      </c>
      <c r="Q1581" s="15" t="s">
        <v>5639</v>
      </c>
      <c r="R1581" s="17" t="s">
        <v>5640</v>
      </c>
      <c r="S1581" s="11"/>
      <c r="T1581" s="11"/>
      <c r="U1581" s="10" t="str">
        <f>HYPERLINK("https://pbs.twimg.com/profile_images/1673847180/manifes.jpg","View")</f>
        <v>View</v>
      </c>
    </row>
    <row r="1582" spans="1:21" ht="40.799999999999997">
      <c r="A1582" s="6">
        <v>43439.552534722221</v>
      </c>
      <c r="B1582" s="7" t="str">
        <f>HYPERLINK("https://twitter.com/Murga_67","@Murga_67")</f>
        <v>@Murga_67</v>
      </c>
      <c r="C1582" s="8" t="s">
        <v>5641</v>
      </c>
      <c r="D1582" s="9" t="s">
        <v>5642</v>
      </c>
      <c r="E1582" s="10" t="str">
        <f>HYPERLINK("https://twitter.com/Murga_67/status/1070290601998995456","1070290601998995456")</f>
        <v>1070290601998995456</v>
      </c>
      <c r="F1582" s="11"/>
      <c r="G1582" s="11"/>
      <c r="H1582" s="11"/>
      <c r="I1582" s="12">
        <v>2</v>
      </c>
      <c r="J1582" s="12">
        <v>1</v>
      </c>
      <c r="K1582" s="13" t="str">
        <f t="shared" ref="K1582:K1583" si="362">HYPERLINK("http://twitter.com/download/android","Twitter for Android")</f>
        <v>Twitter for Android</v>
      </c>
      <c r="L1582" s="12">
        <v>149</v>
      </c>
      <c r="M1582" s="12">
        <v>198</v>
      </c>
      <c r="N1582" s="12">
        <v>0</v>
      </c>
      <c r="O1582" s="14"/>
      <c r="P1582" s="6">
        <v>43415.021886574075</v>
      </c>
      <c r="Q1582" s="11"/>
      <c r="R1582" s="17" t="s">
        <v>5643</v>
      </c>
      <c r="S1582" s="11"/>
      <c r="T1582" s="11"/>
      <c r="U1582" s="10" t="str">
        <f>HYPERLINK("https://pbs.twimg.com/profile_images/1061406756834828290/GHgDtah3.jpg","View")</f>
        <v>View</v>
      </c>
    </row>
    <row r="1583" spans="1:21" ht="40.799999999999997">
      <c r="A1583" s="6">
        <v>43439.552476851852</v>
      </c>
      <c r="B1583" s="7" t="str">
        <f>HYPERLINK("https://twitter.com/lunadebenidorm","@lunadebenidorm")</f>
        <v>@lunadebenidorm</v>
      </c>
      <c r="C1583" s="8" t="s">
        <v>1215</v>
      </c>
      <c r="D1583" s="9" t="s">
        <v>5644</v>
      </c>
      <c r="E1583" s="10" t="str">
        <f>HYPERLINK("https://twitter.com/lunadebenidorm/status/1070290584332587011","1070290584332587011")</f>
        <v>1070290584332587011</v>
      </c>
      <c r="F1583" s="11"/>
      <c r="G1583" s="16" t="s">
        <v>5645</v>
      </c>
      <c r="H1583" s="11"/>
      <c r="I1583" s="12">
        <v>0</v>
      </c>
      <c r="J1583" s="12">
        <v>0</v>
      </c>
      <c r="K1583" s="13" t="str">
        <f t="shared" si="362"/>
        <v>Twitter for Android</v>
      </c>
      <c r="L1583" s="12">
        <v>3951</v>
      </c>
      <c r="M1583" s="12">
        <v>4067</v>
      </c>
      <c r="N1583" s="12">
        <v>79</v>
      </c>
      <c r="O1583" s="14"/>
      <c r="P1583" s="6">
        <v>41461.81186342593</v>
      </c>
      <c r="Q1583" s="11"/>
      <c r="R1583" s="17" t="s">
        <v>1217</v>
      </c>
      <c r="S1583" s="11"/>
      <c r="T1583" s="11"/>
      <c r="U1583" s="10" t="str">
        <f>HYPERLINK("https://pbs.twimg.com/profile_images/1066142568734515203/pN2PG8WE.jpg","View")</f>
        <v>View</v>
      </c>
    </row>
    <row r="1584" spans="1:21" ht="40.799999999999997">
      <c r="A1584" s="6">
        <v>43439.552233796298</v>
      </c>
      <c r="B1584" s="7" t="str">
        <f>HYPERLINK("https://twitter.com/ANTPODEMOS","@ANTPODEMOS")</f>
        <v>@ANTPODEMOS</v>
      </c>
      <c r="C1584" s="8" t="s">
        <v>5646</v>
      </c>
      <c r="D1584" s="9" t="s">
        <v>5647</v>
      </c>
      <c r="E1584" s="10" t="str">
        <f>HYPERLINK("https://twitter.com/ANTPODEMOS/status/1070290492158631937","1070290492158631937")</f>
        <v>1070290492158631937</v>
      </c>
      <c r="F1584" s="16" t="s">
        <v>772</v>
      </c>
      <c r="G1584" s="11"/>
      <c r="H1584" s="11"/>
      <c r="I1584" s="12">
        <v>0</v>
      </c>
      <c r="J1584" s="12">
        <v>1</v>
      </c>
      <c r="K1584" s="13" t="str">
        <f>HYPERLINK("http://www.facebook.com/twitter","Facebook")</f>
        <v>Facebook</v>
      </c>
      <c r="L1584" s="12">
        <v>5585</v>
      </c>
      <c r="M1584" s="12">
        <v>426</v>
      </c>
      <c r="N1584" s="12">
        <v>58</v>
      </c>
      <c r="O1584" s="14"/>
      <c r="P1584" s="6">
        <v>41956.204837962963</v>
      </c>
      <c r="Q1584" s="15" t="s">
        <v>197</v>
      </c>
      <c r="R1584" s="17" t="s">
        <v>5648</v>
      </c>
      <c r="S1584" s="16" t="s">
        <v>5649</v>
      </c>
      <c r="T1584" s="11"/>
      <c r="U1584" s="10" t="str">
        <f>HYPERLINK("https://pbs.twimg.com/profile_images/952681544224854017/rVAhotfW.jpg","View")</f>
        <v>View</v>
      </c>
    </row>
    <row r="1585" spans="1:21" ht="51">
      <c r="A1585" s="6">
        <v>43439.55097222222</v>
      </c>
      <c r="B1585" s="7" t="str">
        <f>HYPERLINK("https://twitter.com/lunadebenidorm","@lunadebenidorm")</f>
        <v>@lunadebenidorm</v>
      </c>
      <c r="C1585" s="8" t="s">
        <v>1215</v>
      </c>
      <c r="D1585" s="9" t="s">
        <v>5650</v>
      </c>
      <c r="E1585" s="10" t="str">
        <f>HYPERLINK("https://twitter.com/lunadebenidorm/status/1070290035042381824","1070290035042381824")</f>
        <v>1070290035042381824</v>
      </c>
      <c r="F1585" s="11"/>
      <c r="G1585" s="16" t="s">
        <v>5651</v>
      </c>
      <c r="H1585" s="11"/>
      <c r="I1585" s="12">
        <v>0</v>
      </c>
      <c r="J1585" s="12">
        <v>0</v>
      </c>
      <c r="K1585" s="13" t="str">
        <f>HYPERLINK("http://twitter.com/download/android","Twitter for Android")</f>
        <v>Twitter for Android</v>
      </c>
      <c r="L1585" s="12">
        <v>3951</v>
      </c>
      <c r="M1585" s="12">
        <v>4067</v>
      </c>
      <c r="N1585" s="12">
        <v>79</v>
      </c>
      <c r="O1585" s="14"/>
      <c r="P1585" s="6">
        <v>41461.81186342593</v>
      </c>
      <c r="Q1585" s="11"/>
      <c r="R1585" s="17" t="s">
        <v>1217</v>
      </c>
      <c r="S1585" s="11"/>
      <c r="T1585" s="11"/>
      <c r="U1585" s="10" t="str">
        <f>HYPERLINK("https://pbs.twimg.com/profile_images/1066142568734515203/pN2PG8WE.jpg","View")</f>
        <v>View</v>
      </c>
    </row>
    <row r="1586" spans="1:21" ht="40.799999999999997">
      <c r="A1586" s="6">
        <v>43439.549305555556</v>
      </c>
      <c r="B1586" s="7" t="str">
        <f>HYPERLINK("https://twitter.com/amandaschez","@amandaschez")</f>
        <v>@amandaschez</v>
      </c>
      <c r="C1586" s="8" t="s">
        <v>5652</v>
      </c>
      <c r="D1586" s="9" t="s">
        <v>5653</v>
      </c>
      <c r="E1586" s="10" t="str">
        <f>HYPERLINK("https://twitter.com/amandaschez/status/1070289432429936640","1070289432429936640")</f>
        <v>1070289432429936640</v>
      </c>
      <c r="F1586" s="11"/>
      <c r="G1586" s="11"/>
      <c r="H1586" s="11"/>
      <c r="I1586" s="12">
        <v>1</v>
      </c>
      <c r="J1586" s="12">
        <v>5</v>
      </c>
      <c r="K1586" s="13" t="str">
        <f>HYPERLINK("http://twitter.com","Twitter Web Client")</f>
        <v>Twitter Web Client</v>
      </c>
      <c r="L1586" s="12">
        <v>508</v>
      </c>
      <c r="M1586" s="12">
        <v>1156</v>
      </c>
      <c r="N1586" s="12">
        <v>7</v>
      </c>
      <c r="O1586" s="14"/>
      <c r="P1586" s="6">
        <v>42036.973113425927</v>
      </c>
      <c r="Q1586" s="15" t="s">
        <v>5654</v>
      </c>
      <c r="R1586" s="17" t="s">
        <v>5655</v>
      </c>
      <c r="S1586" s="11"/>
      <c r="T1586" s="11"/>
      <c r="U1586" s="10" t="str">
        <f>HYPERLINK("https://pbs.twimg.com/profile_images/684840702845517824/_Ug34HZs.jpg","View")</f>
        <v>View</v>
      </c>
    </row>
    <row r="1587" spans="1:21" ht="30.6">
      <c r="A1587" s="6">
        <v>43439.549305555556</v>
      </c>
      <c r="B1587" s="7" t="str">
        <f>HYPERLINK("https://twitter.com/lunadebenidorm","@lunadebenidorm")</f>
        <v>@lunadebenidorm</v>
      </c>
      <c r="C1587" s="8" t="s">
        <v>1215</v>
      </c>
      <c r="D1587" s="9" t="s">
        <v>5656</v>
      </c>
      <c r="E1587" s="10" t="str">
        <f>HYPERLINK("https://twitter.com/lunadebenidorm/status/1070289431691702272","1070289431691702272")</f>
        <v>1070289431691702272</v>
      </c>
      <c r="F1587" s="11"/>
      <c r="G1587" s="16" t="s">
        <v>5657</v>
      </c>
      <c r="H1587" s="11"/>
      <c r="I1587" s="12">
        <v>0</v>
      </c>
      <c r="J1587" s="12">
        <v>0</v>
      </c>
      <c r="K1587" s="13" t="str">
        <f>HYPERLINK("http://twitter.com/download/android","Twitter for Android")</f>
        <v>Twitter for Android</v>
      </c>
      <c r="L1587" s="12">
        <v>3951</v>
      </c>
      <c r="M1587" s="12">
        <v>4067</v>
      </c>
      <c r="N1587" s="12">
        <v>79</v>
      </c>
      <c r="O1587" s="14"/>
      <c r="P1587" s="6">
        <v>41461.81186342593</v>
      </c>
      <c r="Q1587" s="11"/>
      <c r="R1587" s="17" t="s">
        <v>1217</v>
      </c>
      <c r="S1587" s="11"/>
      <c r="T1587" s="11"/>
      <c r="U1587" s="10" t="str">
        <f>HYPERLINK("https://pbs.twimg.com/profile_images/1066142568734515203/pN2PG8WE.jpg","View")</f>
        <v>View</v>
      </c>
    </row>
    <row r="1588" spans="1:21" ht="40.799999999999997">
      <c r="A1588" s="6">
        <v>43439.548750000002</v>
      </c>
      <c r="B1588" s="7" t="str">
        <f>HYPERLINK("https://twitter.com/lextresabogados","@lextresabogados")</f>
        <v>@lextresabogados</v>
      </c>
      <c r="C1588" s="8" t="s">
        <v>672</v>
      </c>
      <c r="D1588" s="9" t="s">
        <v>5658</v>
      </c>
      <c r="E1588" s="10" t="str">
        <f>HYPERLINK("https://twitter.com/lextresabogados/status/1070289231715672064","1070289231715672064")</f>
        <v>1070289231715672064</v>
      </c>
      <c r="F1588" s="16" t="s">
        <v>5659</v>
      </c>
      <c r="G1588" s="11"/>
      <c r="H1588" s="11"/>
      <c r="I1588" s="12">
        <v>0</v>
      </c>
      <c r="J1588" s="12">
        <v>0</v>
      </c>
      <c r="K1588" s="13" t="str">
        <f>HYPERLINK("http://35.180.36.179","botize nueva")</f>
        <v>botize nueva</v>
      </c>
      <c r="L1588" s="12">
        <v>2912</v>
      </c>
      <c r="M1588" s="12">
        <v>3525</v>
      </c>
      <c r="N1588" s="12">
        <v>26</v>
      </c>
      <c r="O1588" s="14"/>
      <c r="P1588" s="6">
        <v>42880.770949074074</v>
      </c>
      <c r="Q1588" s="15" t="s">
        <v>676</v>
      </c>
      <c r="R1588" s="17" t="s">
        <v>677</v>
      </c>
      <c r="S1588" s="16" t="s">
        <v>678</v>
      </c>
      <c r="T1588" s="11"/>
      <c r="U1588" s="10" t="str">
        <f>HYPERLINK("https://pbs.twimg.com/profile_images/1068056978679898113/YnjKwiVy.jpg","View")</f>
        <v>View</v>
      </c>
    </row>
    <row r="1589" spans="1:21" ht="40.799999999999997">
      <c r="A1589" s="6">
        <v>43439.548611111109</v>
      </c>
      <c r="B1589" s="7" t="str">
        <f>HYPERLINK("https://twitter.com/lasprovincias","@lasprovincias")</f>
        <v>@lasprovincias</v>
      </c>
      <c r="C1589" s="8" t="s">
        <v>5660</v>
      </c>
      <c r="D1589" s="9" t="s">
        <v>5661</v>
      </c>
      <c r="E1589" s="10" t="str">
        <f>HYPERLINK("https://twitter.com/lasprovincias/status/1070289180796678144","1070289180796678144")</f>
        <v>1070289180796678144</v>
      </c>
      <c r="F1589" s="16" t="s">
        <v>5659</v>
      </c>
      <c r="G1589" s="11"/>
      <c r="H1589" s="11"/>
      <c r="I1589" s="12">
        <v>0</v>
      </c>
      <c r="J1589" s="12">
        <v>3</v>
      </c>
      <c r="K1589" s="13" t="str">
        <f>HYPERLINK("https://about.twitter.com/products/tweetdeck","TweetDeck")</f>
        <v>TweetDeck</v>
      </c>
      <c r="L1589" s="12">
        <v>171109</v>
      </c>
      <c r="M1589" s="12">
        <v>176</v>
      </c>
      <c r="N1589" s="12">
        <v>1830</v>
      </c>
      <c r="O1589" s="23" t="s">
        <v>89</v>
      </c>
      <c r="P1589" s="6">
        <v>39777.557349537034</v>
      </c>
      <c r="Q1589" s="15" t="s">
        <v>5662</v>
      </c>
      <c r="R1589" s="17" t="s">
        <v>5663</v>
      </c>
      <c r="S1589" s="16" t="s">
        <v>5664</v>
      </c>
      <c r="T1589" s="11"/>
      <c r="U1589" s="10" t="str">
        <f>HYPERLINK("https://pbs.twimg.com/profile_images/875631082082754562/s54cREIc.jpg","View")</f>
        <v>View</v>
      </c>
    </row>
    <row r="1590" spans="1:21" ht="40.799999999999997">
      <c r="A1590" s="6">
        <v>43439.545277777783</v>
      </c>
      <c r="B1590" s="7" t="str">
        <f>HYPERLINK("https://twitter.com/progrestona","@progrestona")</f>
        <v>@progrestona</v>
      </c>
      <c r="C1590" s="8" t="s">
        <v>5665</v>
      </c>
      <c r="D1590" s="9" t="s">
        <v>5666</v>
      </c>
      <c r="E1590" s="10" t="str">
        <f>HYPERLINK("https://twitter.com/progrestona/status/1070287974150094848","1070287974150094848")</f>
        <v>1070287974150094848</v>
      </c>
      <c r="F1590" s="11"/>
      <c r="G1590" s="16" t="s">
        <v>5667</v>
      </c>
      <c r="H1590" s="11"/>
      <c r="I1590" s="12">
        <v>7</v>
      </c>
      <c r="J1590" s="12">
        <v>15</v>
      </c>
      <c r="K1590" s="13" t="str">
        <f t="shared" ref="K1590:K1591" si="363">HYPERLINK("http://twitter.com/download/android","Twitter for Android")</f>
        <v>Twitter for Android</v>
      </c>
      <c r="L1590" s="12">
        <v>2377</v>
      </c>
      <c r="M1590" s="12">
        <v>2409</v>
      </c>
      <c r="N1590" s="12">
        <v>19</v>
      </c>
      <c r="O1590" s="14"/>
      <c r="P1590" s="6">
        <v>43331.657939814817</v>
      </c>
      <c r="Q1590" s="15" t="s">
        <v>5668</v>
      </c>
      <c r="R1590" s="17" t="s">
        <v>5669</v>
      </c>
      <c r="S1590" s="11"/>
      <c r="T1590" s="11"/>
      <c r="U1590" s="10" t="str">
        <f>HYPERLINK("https://pbs.twimg.com/profile_images/1031633850382921728/4xGXi69u.jpg","View")</f>
        <v>View</v>
      </c>
    </row>
    <row r="1591" spans="1:21" ht="30.6">
      <c r="A1591" s="6">
        <v>43439.544999999998</v>
      </c>
      <c r="B1591" s="7" t="str">
        <f>HYPERLINK("https://twitter.com/albertoibanezj","@albertoibanezj")</f>
        <v>@albertoibanezj</v>
      </c>
      <c r="C1591" s="8" t="s">
        <v>5670</v>
      </c>
      <c r="D1591" s="9" t="s">
        <v>5671</v>
      </c>
      <c r="E1591" s="10" t="str">
        <f>HYPERLINK("https://twitter.com/albertoibanezj/status/1070287872127877120","1070287872127877120")</f>
        <v>1070287872127877120</v>
      </c>
      <c r="F1591" s="11"/>
      <c r="G1591" s="16" t="s">
        <v>5672</v>
      </c>
      <c r="H1591" s="11"/>
      <c r="I1591" s="12">
        <v>0</v>
      </c>
      <c r="J1591" s="12">
        <v>0</v>
      </c>
      <c r="K1591" s="13" t="str">
        <f t="shared" si="363"/>
        <v>Twitter for Android</v>
      </c>
      <c r="L1591" s="12">
        <v>946</v>
      </c>
      <c r="M1591" s="12">
        <v>798</v>
      </c>
      <c r="N1591" s="12">
        <v>24</v>
      </c>
      <c r="O1591" s="14"/>
      <c r="P1591" s="6">
        <v>41016.866909722223</v>
      </c>
      <c r="Q1591" s="15" t="s">
        <v>5673</v>
      </c>
      <c r="R1591" s="17" t="s">
        <v>5674</v>
      </c>
      <c r="S1591" s="16" t="s">
        <v>5675</v>
      </c>
      <c r="T1591" s="11"/>
      <c r="U1591" s="10" t="str">
        <f>HYPERLINK("https://pbs.twimg.com/profile_images/1069314772712255493/IX3boZI5.jpg","View")</f>
        <v>View</v>
      </c>
    </row>
    <row r="1592" spans="1:21" ht="51">
      <c r="A1592" s="6">
        <v>43439.544502314813</v>
      </c>
      <c r="B1592" s="7" t="str">
        <f>HYPERLINK("https://twitter.com/AndreaSwertz1","@AndreaSwertz1")</f>
        <v>@AndreaSwertz1</v>
      </c>
      <c r="C1592" s="8" t="s">
        <v>5676</v>
      </c>
      <c r="D1592" s="9" t="s">
        <v>5677</v>
      </c>
      <c r="E1592" s="10" t="str">
        <f>HYPERLINK("https://twitter.com/AndreaSwertz1/status/1070287692011855872","1070287692011855872")</f>
        <v>1070287692011855872</v>
      </c>
      <c r="F1592" s="11"/>
      <c r="G1592" s="11"/>
      <c r="H1592" s="11"/>
      <c r="I1592" s="12">
        <v>0</v>
      </c>
      <c r="J1592" s="12">
        <v>0</v>
      </c>
      <c r="K1592" s="13" t="str">
        <f t="shared" ref="K1592:K1593" si="364">HYPERLINK("http://twitter.com/download/iphone","Twitter for iPhone")</f>
        <v>Twitter for iPhone</v>
      </c>
      <c r="L1592" s="12">
        <v>17</v>
      </c>
      <c r="M1592" s="12">
        <v>57</v>
      </c>
      <c r="N1592" s="12">
        <v>0</v>
      </c>
      <c r="O1592" s="14"/>
      <c r="P1592" s="6">
        <v>43104.423483796301</v>
      </c>
      <c r="Q1592" s="15" t="s">
        <v>5678</v>
      </c>
      <c r="R1592" s="17" t="s">
        <v>5679</v>
      </c>
      <c r="S1592" s="11"/>
      <c r="T1592" s="11"/>
      <c r="U1592" s="10" t="str">
        <f>HYPERLINK("https://pbs.twimg.com/profile_images/1031439817450631168/rFsKjRsM.jpg","View")</f>
        <v>View</v>
      </c>
    </row>
    <row r="1593" spans="1:21" ht="61.2">
      <c r="A1593" s="6">
        <v>43439.544363425928</v>
      </c>
      <c r="B1593" s="7" t="str">
        <f>HYPERLINK("https://twitter.com/albavilalage","@albavilalage")</f>
        <v>@albavilalage</v>
      </c>
      <c r="C1593" s="8" t="s">
        <v>5680</v>
      </c>
      <c r="D1593" s="9" t="s">
        <v>5681</v>
      </c>
      <c r="E1593" s="10" t="str">
        <f>HYPERLINK("https://twitter.com/albavilalage/status/1070287640560320512","1070287640560320512")</f>
        <v>1070287640560320512</v>
      </c>
      <c r="F1593" s="15" t="s">
        <v>5682</v>
      </c>
      <c r="G1593" s="11"/>
      <c r="H1593" s="11"/>
      <c r="I1593" s="12">
        <v>25</v>
      </c>
      <c r="J1593" s="12">
        <v>35</v>
      </c>
      <c r="K1593" s="13" t="str">
        <f t="shared" si="364"/>
        <v>Twitter for iPhone</v>
      </c>
      <c r="L1593" s="12">
        <v>883</v>
      </c>
      <c r="M1593" s="12">
        <v>409</v>
      </c>
      <c r="N1593" s="12">
        <v>7</v>
      </c>
      <c r="O1593" s="14"/>
      <c r="P1593" s="6">
        <v>40160.655462962961</v>
      </c>
      <c r="Q1593" s="15" t="s">
        <v>5683</v>
      </c>
      <c r="R1593" s="17" t="s">
        <v>5684</v>
      </c>
      <c r="S1593" s="11"/>
      <c r="T1593" s="11"/>
      <c r="U1593" s="10" t="str">
        <f>HYPERLINK("https://pbs.twimg.com/profile_images/1017675440876597248/kVFKxzcV.jpg","View")</f>
        <v>View</v>
      </c>
    </row>
    <row r="1594" spans="1:21" ht="30.6">
      <c r="A1594" s="6">
        <v>43439.543437500004</v>
      </c>
      <c r="B1594" s="7" t="str">
        <f>HYPERLINK("https://twitter.com/migueangelgr","@migueangelgr")</f>
        <v>@migueangelgr</v>
      </c>
      <c r="C1594" s="8" t="s">
        <v>4634</v>
      </c>
      <c r="D1594" s="9" t="s">
        <v>5685</v>
      </c>
      <c r="E1594" s="10" t="str">
        <f>HYPERLINK("https://twitter.com/migueangelgr/status/1070287307901669377","1070287307901669377")</f>
        <v>1070287307901669377</v>
      </c>
      <c r="F1594" s="11"/>
      <c r="G1594" s="11"/>
      <c r="H1594" s="11"/>
      <c r="I1594" s="12">
        <v>0</v>
      </c>
      <c r="J1594" s="12">
        <v>0</v>
      </c>
      <c r="K1594" s="13" t="str">
        <f>HYPERLINK("http://twitter.com/download/android","Twitter for Android")</f>
        <v>Twitter for Android</v>
      </c>
      <c r="L1594" s="12">
        <v>359</v>
      </c>
      <c r="M1594" s="12">
        <v>1715</v>
      </c>
      <c r="N1594" s="12">
        <v>5</v>
      </c>
      <c r="O1594" s="14"/>
      <c r="P1594" s="6">
        <v>40592.56144675926</v>
      </c>
      <c r="Q1594" s="15" t="s">
        <v>56</v>
      </c>
      <c r="R1594" s="17" t="s">
        <v>5686</v>
      </c>
      <c r="S1594" s="11"/>
      <c r="T1594" s="11"/>
      <c r="U1594" s="10" t="str">
        <f>HYPERLINK("https://pbs.twimg.com/profile_images/588744256535298048/waAAi8jp.jpg","View")</f>
        <v>View</v>
      </c>
    </row>
    <row r="1595" spans="1:21" ht="40.799999999999997">
      <c r="A1595" s="6">
        <v>43439.543240740742</v>
      </c>
      <c r="B1595" s="7" t="str">
        <f>HYPERLINK("https://twitter.com/SoyDonNadie","@SoyDonNadie")</f>
        <v>@SoyDonNadie</v>
      </c>
      <c r="C1595" s="8" t="s">
        <v>5687</v>
      </c>
      <c r="D1595" s="9" t="s">
        <v>5688</v>
      </c>
      <c r="E1595" s="10" t="str">
        <f>HYPERLINK("https://twitter.com/SoyDonNadie/status/1070287233159233537","1070287233159233537")</f>
        <v>1070287233159233537</v>
      </c>
      <c r="F1595" s="16" t="s">
        <v>5689</v>
      </c>
      <c r="G1595" s="11"/>
      <c r="H1595" s="11"/>
      <c r="I1595" s="12">
        <v>0</v>
      </c>
      <c r="J1595" s="12">
        <v>0</v>
      </c>
      <c r="K1595" s="13" t="str">
        <f>HYPERLINK("http://www.facebook.com/twitter","Facebook")</f>
        <v>Facebook</v>
      </c>
      <c r="L1595" s="12">
        <v>946</v>
      </c>
      <c r="M1595" s="12">
        <v>2309</v>
      </c>
      <c r="N1595" s="12">
        <v>14</v>
      </c>
      <c r="O1595" s="14"/>
      <c r="P1595" s="6">
        <v>40546.957303240742</v>
      </c>
      <c r="Q1595" s="15" t="s">
        <v>612</v>
      </c>
      <c r="R1595" s="17" t="s">
        <v>5690</v>
      </c>
      <c r="S1595" s="16" t="s">
        <v>5691</v>
      </c>
      <c r="T1595" s="11"/>
      <c r="U1595" s="10" t="str">
        <f>HYPERLINK("https://pbs.twimg.com/profile_images/1900771571/Don_2520Nadie.JPG","View")</f>
        <v>View</v>
      </c>
    </row>
    <row r="1596" spans="1:21" ht="51">
      <c r="A1596" s="6">
        <v>43439.54305555555</v>
      </c>
      <c r="B1596" s="7" t="str">
        <f>HYPERLINK("https://twitter.com/bitMomentum","@bitMomentum")</f>
        <v>@bitMomentum</v>
      </c>
      <c r="C1596" s="8" t="s">
        <v>82</v>
      </c>
      <c r="D1596" s="9" t="s">
        <v>5692</v>
      </c>
      <c r="E1596" s="10" t="str">
        <f>HYPERLINK("https://twitter.com/bitMomentum/status/1070287166612365312","1070287166612365312")</f>
        <v>1070287166612365312</v>
      </c>
      <c r="F1596" s="11"/>
      <c r="G1596" s="11"/>
      <c r="H1596" s="11"/>
      <c r="I1596" s="12">
        <v>0</v>
      </c>
      <c r="J1596" s="12">
        <v>0</v>
      </c>
      <c r="K1596" s="13" t="str">
        <f>HYPERLINK("http://www.bitmomentum.com","bitMomentum Bot")</f>
        <v>bitMomentum Bot</v>
      </c>
      <c r="L1596" s="12">
        <v>10253</v>
      </c>
      <c r="M1596" s="12">
        <v>1059</v>
      </c>
      <c r="N1596" s="12">
        <v>263</v>
      </c>
      <c r="O1596" s="14"/>
      <c r="P1596" s="6">
        <v>41608.667511574073</v>
      </c>
      <c r="Q1596" s="11"/>
      <c r="R1596" s="17" t="s">
        <v>84</v>
      </c>
      <c r="S1596" s="16" t="s">
        <v>85</v>
      </c>
      <c r="T1596" s="11"/>
      <c r="U1596" s="10" t="str">
        <f>HYPERLINK("https://pbs.twimg.com/profile_images/378800000862185241/20ij2H3u.png","View")</f>
        <v>View</v>
      </c>
    </row>
    <row r="1597" spans="1:21" ht="40.799999999999997">
      <c r="A1597" s="6">
        <v>43439.542407407411</v>
      </c>
      <c r="B1597" s="7" t="str">
        <f>HYPERLINK("https://twitter.com/AnaGarcia2Mayo","@AnaGarcia2Mayo")</f>
        <v>@AnaGarcia2Mayo</v>
      </c>
      <c r="C1597" s="8" t="s">
        <v>1118</v>
      </c>
      <c r="D1597" s="9" t="s">
        <v>5693</v>
      </c>
      <c r="E1597" s="10" t="str">
        <f>HYPERLINK("https://twitter.com/AnaGarcia2Mayo/status/1070286931576147970","1070286931576147970")</f>
        <v>1070286931576147970</v>
      </c>
      <c r="F1597" s="16" t="s">
        <v>5694</v>
      </c>
      <c r="G1597" s="16" t="s">
        <v>5695</v>
      </c>
      <c r="H1597" s="11"/>
      <c r="I1597" s="12">
        <v>5</v>
      </c>
      <c r="J1597" s="12">
        <v>8</v>
      </c>
      <c r="K1597" s="13" t="str">
        <f>HYPERLINK("http://twitter.com/download/android","Twitter for Android")</f>
        <v>Twitter for Android</v>
      </c>
      <c r="L1597" s="12">
        <v>39</v>
      </c>
      <c r="M1597" s="12">
        <v>40</v>
      </c>
      <c r="N1597" s="12">
        <v>0</v>
      </c>
      <c r="O1597" s="14"/>
      <c r="P1597" s="6">
        <v>43409.777951388889</v>
      </c>
      <c r="Q1597" s="15" t="s">
        <v>1121</v>
      </c>
      <c r="R1597" s="18"/>
      <c r="S1597" s="11"/>
      <c r="T1597" s="11"/>
      <c r="U1597" s="10" t="str">
        <f>HYPERLINK("https://pbs.twimg.com/profile_images/1059501607229014016/9vJV2pGE.jpg","View")</f>
        <v>View</v>
      </c>
    </row>
    <row r="1598" spans="1:21" ht="51">
      <c r="A1598" s="6">
        <v>43439.542361111111</v>
      </c>
      <c r="B1598" s="7" t="str">
        <f>HYPERLINK("https://twitter.com/bitMomentum","@bitMomentum")</f>
        <v>@bitMomentum</v>
      </c>
      <c r="C1598" s="8" t="s">
        <v>82</v>
      </c>
      <c r="D1598" s="9" t="s">
        <v>5696</v>
      </c>
      <c r="E1598" s="10" t="str">
        <f>HYPERLINK("https://twitter.com/bitMomentum/status/1070286915084128257","1070286915084128257")</f>
        <v>1070286915084128257</v>
      </c>
      <c r="F1598" s="11"/>
      <c r="G1598" s="11"/>
      <c r="H1598" s="11"/>
      <c r="I1598" s="12">
        <v>0</v>
      </c>
      <c r="J1598" s="12">
        <v>0</v>
      </c>
      <c r="K1598" s="13" t="str">
        <f>HYPERLINK("http://www.bitmomentum.com","bitMomentum Bot")</f>
        <v>bitMomentum Bot</v>
      </c>
      <c r="L1598" s="12">
        <v>10253</v>
      </c>
      <c r="M1598" s="12">
        <v>1059</v>
      </c>
      <c r="N1598" s="12">
        <v>263</v>
      </c>
      <c r="O1598" s="14"/>
      <c r="P1598" s="6">
        <v>41608.667511574073</v>
      </c>
      <c r="Q1598" s="11"/>
      <c r="R1598" s="17" t="s">
        <v>84</v>
      </c>
      <c r="S1598" s="16" t="s">
        <v>85</v>
      </c>
      <c r="T1598" s="11"/>
      <c r="U1598" s="10" t="str">
        <f>HYPERLINK("https://pbs.twimg.com/profile_images/378800000862185241/20ij2H3u.png","View")</f>
        <v>View</v>
      </c>
    </row>
    <row r="1599" spans="1:21" ht="51">
      <c r="A1599" s="6">
        <v>43439.541134259256</v>
      </c>
      <c r="B1599" s="7" t="str">
        <f>HYPERLINK("https://twitter.com/Akrainsurrecto","@Akrainsurrecto")</f>
        <v>@Akrainsurrecto</v>
      </c>
      <c r="C1599" s="8" t="s">
        <v>4713</v>
      </c>
      <c r="D1599" s="9" t="s">
        <v>5697</v>
      </c>
      <c r="E1599" s="10" t="str">
        <f>HYPERLINK("https://twitter.com/Akrainsurrecto/status/1070286471758823424","1070286471758823424")</f>
        <v>1070286471758823424</v>
      </c>
      <c r="F1599" s="11"/>
      <c r="G1599" s="11"/>
      <c r="H1599" s="11"/>
      <c r="I1599" s="12">
        <v>0</v>
      </c>
      <c r="J1599" s="12">
        <v>0</v>
      </c>
      <c r="K1599" s="13" t="str">
        <f>HYPERLINK("http://twitter.com","Twitter Web Client")</f>
        <v>Twitter Web Client</v>
      </c>
      <c r="L1599" s="12">
        <v>2644</v>
      </c>
      <c r="M1599" s="12">
        <v>2264</v>
      </c>
      <c r="N1599" s="12">
        <v>12</v>
      </c>
      <c r="O1599" s="14"/>
      <c r="P1599" s="6">
        <v>41584.492210648146</v>
      </c>
      <c r="Q1599" s="11"/>
      <c r="R1599" s="17" t="s">
        <v>4715</v>
      </c>
      <c r="S1599" s="11"/>
      <c r="T1599" s="11"/>
      <c r="U1599" s="10" t="str">
        <f>HYPERLINK("https://pbs.twimg.com/profile_images/378800000702242175/9308473ee8d6e49754ad631151c2ec8b.jpeg","View")</f>
        <v>View</v>
      </c>
    </row>
    <row r="1600" spans="1:21" ht="51">
      <c r="A1600" s="6">
        <v>43439.54078703704</v>
      </c>
      <c r="B1600" s="7" t="str">
        <f>HYPERLINK("https://twitter.com/alejandro_bpuj","@alejandro_bpuj")</f>
        <v>@alejandro_bpuj</v>
      </c>
      <c r="C1600" s="8" t="s">
        <v>5698</v>
      </c>
      <c r="D1600" s="9" t="s">
        <v>5699</v>
      </c>
      <c r="E1600" s="10" t="str">
        <f>HYPERLINK("https://twitter.com/alejandro_bpuj/status/1070286344117719041","1070286344117719041")</f>
        <v>1070286344117719041</v>
      </c>
      <c r="F1600" s="11"/>
      <c r="G1600" s="11"/>
      <c r="H1600" s="11"/>
      <c r="I1600" s="12">
        <v>1</v>
      </c>
      <c r="J1600" s="12">
        <v>2</v>
      </c>
      <c r="K1600" s="13" t="str">
        <f t="shared" ref="K1600:K1601" si="365">HYPERLINK("http://twitter.com/download/iphone","Twitter for iPhone")</f>
        <v>Twitter for iPhone</v>
      </c>
      <c r="L1600" s="12">
        <v>103</v>
      </c>
      <c r="M1600" s="12">
        <v>905</v>
      </c>
      <c r="N1600" s="12">
        <v>1</v>
      </c>
      <c r="O1600" s="14"/>
      <c r="P1600" s="6">
        <v>40771.86854166667</v>
      </c>
      <c r="Q1600" s="15" t="s">
        <v>5700</v>
      </c>
      <c r="R1600" s="17" t="s">
        <v>5701</v>
      </c>
      <c r="S1600" s="11"/>
      <c r="T1600" s="11"/>
      <c r="U1600" s="10" t="str">
        <f>HYPERLINK("https://pbs.twimg.com/profile_images/1021542101316714496/XOy0KkPb.jpg","View")</f>
        <v>View</v>
      </c>
    </row>
    <row r="1601" spans="1:21" ht="71.400000000000006">
      <c r="A1601" s="6">
        <v>43439.54006944444</v>
      </c>
      <c r="B1601" s="7" t="str">
        <f>HYPERLINK("https://twitter.com/Godivaciones","@Godivaciones")</f>
        <v>@Godivaciones</v>
      </c>
      <c r="C1601" s="8" t="s">
        <v>5702</v>
      </c>
      <c r="D1601" s="9" t="s">
        <v>5703</v>
      </c>
      <c r="E1601" s="10" t="str">
        <f>HYPERLINK("https://twitter.com/Godivaciones/status/1070286085475979264","1070286085475979264")</f>
        <v>1070286085475979264</v>
      </c>
      <c r="F1601" s="16" t="s">
        <v>5704</v>
      </c>
      <c r="G1601" s="11"/>
      <c r="H1601" s="11"/>
      <c r="I1601" s="12">
        <v>11</v>
      </c>
      <c r="J1601" s="12">
        <v>40</v>
      </c>
      <c r="K1601" s="13" t="str">
        <f t="shared" si="365"/>
        <v>Twitter for iPhone</v>
      </c>
      <c r="L1601" s="12">
        <v>27959</v>
      </c>
      <c r="M1601" s="12">
        <v>5573</v>
      </c>
      <c r="N1601" s="12">
        <v>594</v>
      </c>
      <c r="O1601" s="14"/>
      <c r="P1601" s="6">
        <v>39762.641689814816</v>
      </c>
      <c r="Q1601" s="15" t="s">
        <v>1304</v>
      </c>
      <c r="R1601" s="17" t="s">
        <v>5705</v>
      </c>
      <c r="S1601" s="16" t="s">
        <v>5706</v>
      </c>
      <c r="T1601" s="11"/>
      <c r="U1601" s="10" t="str">
        <f>HYPERLINK("https://pbs.twimg.com/profile_images/1033140767991255041/qoyhM3sC.jpg","View")</f>
        <v>View</v>
      </c>
    </row>
    <row r="1602" spans="1:21" ht="20.399999999999999">
      <c r="A1602" s="6">
        <v>43439.538101851853</v>
      </c>
      <c r="B1602" s="7" t="str">
        <f>HYPERLINK("https://twitter.com/JorgeCCMM","@JorgeCCMM")</f>
        <v>@JorgeCCMM</v>
      </c>
      <c r="C1602" s="8" t="s">
        <v>5707</v>
      </c>
      <c r="D1602" s="9" t="s">
        <v>5708</v>
      </c>
      <c r="E1602" s="10" t="str">
        <f>HYPERLINK("https://twitter.com/JorgeCCMM/status/1070285374042370050","1070285374042370050")</f>
        <v>1070285374042370050</v>
      </c>
      <c r="F1602" s="16" t="s">
        <v>772</v>
      </c>
      <c r="G1602" s="11"/>
      <c r="H1602" s="11"/>
      <c r="I1602" s="12">
        <v>0</v>
      </c>
      <c r="J1602" s="12">
        <v>0</v>
      </c>
      <c r="K1602" s="13" t="str">
        <f t="shared" ref="K1602:K1603" si="366">HYPERLINK("http://twitter.com","Twitter Web Client")</f>
        <v>Twitter Web Client</v>
      </c>
      <c r="L1602" s="12">
        <v>447</v>
      </c>
      <c r="M1602" s="12">
        <v>1686</v>
      </c>
      <c r="N1602" s="12">
        <v>27</v>
      </c>
      <c r="O1602" s="14"/>
      <c r="P1602" s="6">
        <v>40360.724236111113</v>
      </c>
      <c r="Q1602" s="15" t="s">
        <v>5709</v>
      </c>
      <c r="R1602" s="17" t="s">
        <v>5710</v>
      </c>
      <c r="S1602" s="16" t="s">
        <v>5711</v>
      </c>
      <c r="T1602" s="11"/>
      <c r="U1602" s="10" t="str">
        <f>HYPERLINK("https://pbs.twimg.com/profile_images/727067913019072512/be-M5qy2.jpg","View")</f>
        <v>View</v>
      </c>
    </row>
    <row r="1603" spans="1:21" ht="40.799999999999997">
      <c r="A1603" s="6">
        <v>43439.537962962961</v>
      </c>
      <c r="B1603" s="7" t="str">
        <f>HYPERLINK("https://twitter.com/SeixoDani","@SeixoDani")</f>
        <v>@SeixoDani</v>
      </c>
      <c r="C1603" s="8" t="s">
        <v>5712</v>
      </c>
      <c r="D1603" s="9" t="s">
        <v>5713</v>
      </c>
      <c r="E1603" s="10" t="str">
        <f>HYPERLINK("https://twitter.com/SeixoDani/status/1070285321844215809","1070285321844215809")</f>
        <v>1070285321844215809</v>
      </c>
      <c r="F1603" s="11"/>
      <c r="G1603" s="11"/>
      <c r="H1603" s="11"/>
      <c r="I1603" s="12">
        <v>0</v>
      </c>
      <c r="J1603" s="12">
        <v>4</v>
      </c>
      <c r="K1603" s="13" t="str">
        <f t="shared" si="366"/>
        <v>Twitter Web Client</v>
      </c>
      <c r="L1603" s="12">
        <v>3493</v>
      </c>
      <c r="M1603" s="12">
        <v>4917</v>
      </c>
      <c r="N1603" s="12">
        <v>90</v>
      </c>
      <c r="O1603" s="14"/>
      <c r="P1603" s="6">
        <v>40696.855532407411</v>
      </c>
      <c r="Q1603" s="15" t="s">
        <v>5714</v>
      </c>
      <c r="R1603" s="17" t="s">
        <v>5715</v>
      </c>
      <c r="S1603" s="16" t="s">
        <v>5716</v>
      </c>
      <c r="T1603" s="11"/>
      <c r="U1603" s="10" t="str">
        <f>HYPERLINK("https://pbs.twimg.com/profile_images/1043878885832757249/Zu1wP5_Y.jpg","View")</f>
        <v>View</v>
      </c>
    </row>
    <row r="1604" spans="1:21" ht="61.2">
      <c r="A1604" s="6">
        <v>43439.537743055553</v>
      </c>
      <c r="B1604" s="7" t="str">
        <f>HYPERLINK("https://twitter.com/joseareina","@joseareina")</f>
        <v>@joseareina</v>
      </c>
      <c r="C1604" s="8" t="s">
        <v>4268</v>
      </c>
      <c r="D1604" s="9" t="s">
        <v>5717</v>
      </c>
      <c r="E1604" s="10" t="str">
        <f>HYPERLINK("https://twitter.com/joseareina/status/1070285244002172928","1070285244002172928")</f>
        <v>1070285244002172928</v>
      </c>
      <c r="F1604" s="11"/>
      <c r="G1604" s="11"/>
      <c r="H1604" s="11"/>
      <c r="I1604" s="12">
        <v>0</v>
      </c>
      <c r="J1604" s="12">
        <v>3</v>
      </c>
      <c r="K1604" s="13" t="str">
        <f>HYPERLINK("http://twitter.com/download/iphone","Twitter for iPhone")</f>
        <v>Twitter for iPhone</v>
      </c>
      <c r="L1604" s="12">
        <v>480</v>
      </c>
      <c r="M1604" s="12">
        <v>1238</v>
      </c>
      <c r="N1604" s="12">
        <v>17</v>
      </c>
      <c r="O1604" s="14"/>
      <c r="P1604" s="6">
        <v>40315.388136574074</v>
      </c>
      <c r="Q1604" s="15" t="s">
        <v>56</v>
      </c>
      <c r="R1604" s="17" t="s">
        <v>4271</v>
      </c>
      <c r="S1604" s="16" t="s">
        <v>4272</v>
      </c>
      <c r="T1604" s="11"/>
      <c r="U1604" s="10" t="str">
        <f>HYPERLINK("https://pbs.twimg.com/profile_images/753324327710429185/ot1NmoP9.jpg","View")</f>
        <v>View</v>
      </c>
    </row>
    <row r="1605" spans="1:21" ht="61.2">
      <c r="A1605" s="6">
        <v>43439.535856481481</v>
      </c>
      <c r="B1605" s="7" t="str">
        <f>HYPERLINK("https://twitter.com/Manuelo85417482","@Manuelo85417482")</f>
        <v>@Manuelo85417482</v>
      </c>
      <c r="C1605" s="8" t="s">
        <v>5718</v>
      </c>
      <c r="D1605" s="9" t="s">
        <v>5719</v>
      </c>
      <c r="E1605" s="10" t="str">
        <f>HYPERLINK("https://twitter.com/Manuelo85417482/status/1070284558539591681","1070284558539591681")</f>
        <v>1070284558539591681</v>
      </c>
      <c r="F1605" s="16" t="s">
        <v>5720</v>
      </c>
      <c r="G1605" s="16" t="s">
        <v>5721</v>
      </c>
      <c r="H1605" s="11"/>
      <c r="I1605" s="12">
        <v>0</v>
      </c>
      <c r="J1605" s="12">
        <v>1</v>
      </c>
      <c r="K1605" s="13" t="str">
        <f t="shared" ref="K1605:K1607" si="367">HYPERLINK("http://twitter.com/download/android","Twitter for Android")</f>
        <v>Twitter for Android</v>
      </c>
      <c r="L1605" s="12">
        <v>245</v>
      </c>
      <c r="M1605" s="12">
        <v>387</v>
      </c>
      <c r="N1605" s="12">
        <v>0</v>
      </c>
      <c r="O1605" s="14"/>
      <c r="P1605" s="6">
        <v>43330.86173611111</v>
      </c>
      <c r="Q1605" s="15" t="s">
        <v>5722</v>
      </c>
      <c r="R1605" s="17" t="s">
        <v>5723</v>
      </c>
      <c r="S1605" s="11"/>
      <c r="T1605" s="11"/>
      <c r="U1605" s="10" t="str">
        <f>HYPERLINK("https://pbs.twimg.com/profile_images/1050146083081506817/EFC5GZdg.jpg","View")</f>
        <v>View</v>
      </c>
    </row>
    <row r="1606" spans="1:21" ht="30.6">
      <c r="A1606" s="6">
        <v>43439.535740740743</v>
      </c>
      <c r="B1606" s="7" t="str">
        <f>HYPERLINK("https://twitter.com/karlseta_2","@karlseta_2")</f>
        <v>@karlseta_2</v>
      </c>
      <c r="C1606" s="8" t="s">
        <v>1156</v>
      </c>
      <c r="D1606" s="9" t="s">
        <v>5724</v>
      </c>
      <c r="E1606" s="10" t="str">
        <f>HYPERLINK("https://twitter.com/karlseta_2/status/1070284517410250752","1070284517410250752")</f>
        <v>1070284517410250752</v>
      </c>
      <c r="F1606" s="16" t="s">
        <v>5725</v>
      </c>
      <c r="G1606" s="11"/>
      <c r="H1606" s="11"/>
      <c r="I1606" s="12">
        <v>0</v>
      </c>
      <c r="J1606" s="12">
        <v>3</v>
      </c>
      <c r="K1606" s="13" t="str">
        <f t="shared" si="367"/>
        <v>Twitter for Android</v>
      </c>
      <c r="L1606" s="12">
        <v>1237</v>
      </c>
      <c r="M1606" s="12">
        <v>1135</v>
      </c>
      <c r="N1606" s="12">
        <v>0</v>
      </c>
      <c r="O1606" s="14"/>
      <c r="P1606" s="6">
        <v>43209.593599537038</v>
      </c>
      <c r="Q1606" s="15" t="s">
        <v>1159</v>
      </c>
      <c r="R1606" s="17" t="s">
        <v>1160</v>
      </c>
      <c r="S1606" s="11"/>
      <c r="T1606" s="11"/>
      <c r="U1606" s="10" t="str">
        <f>HYPERLINK("https://pbs.twimg.com/profile_images/1057562733988798464/NVHu_6Bc.jpg","View")</f>
        <v>View</v>
      </c>
    </row>
    <row r="1607" spans="1:21" ht="40.799999999999997">
      <c r="A1607" s="6">
        <v>43439.535717592589</v>
      </c>
      <c r="B1607" s="7" t="str">
        <f>HYPERLINK("https://twitter.com/William49011851","@William49011851")</f>
        <v>@William49011851</v>
      </c>
      <c r="C1607" s="8" t="s">
        <v>5726</v>
      </c>
      <c r="D1607" s="9" t="s">
        <v>5727</v>
      </c>
      <c r="E1607" s="10" t="str">
        <f>HYPERLINK("https://twitter.com/William49011851/status/1070284507104854016","1070284507104854016")</f>
        <v>1070284507104854016</v>
      </c>
      <c r="F1607" s="11"/>
      <c r="G1607" s="11"/>
      <c r="H1607" s="11"/>
      <c r="I1607" s="12">
        <v>0</v>
      </c>
      <c r="J1607" s="12">
        <v>1</v>
      </c>
      <c r="K1607" s="13" t="str">
        <f t="shared" si="367"/>
        <v>Twitter for Android</v>
      </c>
      <c r="L1607" s="12">
        <v>6</v>
      </c>
      <c r="M1607" s="12">
        <v>51</v>
      </c>
      <c r="N1607" s="12">
        <v>0</v>
      </c>
      <c r="O1607" s="14"/>
      <c r="P1607" s="6">
        <v>43316.755439814813</v>
      </c>
      <c r="Q1607" s="15" t="s">
        <v>5728</v>
      </c>
      <c r="R1607" s="17" t="s">
        <v>5729</v>
      </c>
      <c r="S1607" s="11"/>
      <c r="T1607" s="11"/>
      <c r="U1607" s="10" t="str">
        <f>HYPERLINK("https://pbs.twimg.com/profile_images/1025776413562032129/fTtEP9Za.jpg","View")</f>
        <v>View</v>
      </c>
    </row>
    <row r="1608" spans="1:21" ht="91.8">
      <c r="A1608" s="6">
        <v>43439.534907407404</v>
      </c>
      <c r="B1608" s="7" t="str">
        <f>HYPERLINK("https://twitter.com/Paco_Glez_","@Paco_Glez_")</f>
        <v>@Paco_Glez_</v>
      </c>
      <c r="C1608" s="8" t="s">
        <v>5730</v>
      </c>
      <c r="D1608" s="9" t="s">
        <v>5731</v>
      </c>
      <c r="E1608" s="10" t="str">
        <f>HYPERLINK("https://twitter.com/Paco_Glez_/status/1070284213520351232","1070284213520351232")</f>
        <v>1070284213520351232</v>
      </c>
      <c r="F1608" s="15" t="s">
        <v>5732</v>
      </c>
      <c r="G1608" s="11"/>
      <c r="H1608" s="11"/>
      <c r="I1608" s="12">
        <v>4</v>
      </c>
      <c r="J1608" s="12">
        <v>6</v>
      </c>
      <c r="K1608" s="13" t="str">
        <f>HYPERLINK("http://twitter.com/download/iphone","Twitter for iPhone")</f>
        <v>Twitter for iPhone</v>
      </c>
      <c r="L1608" s="12">
        <v>6913</v>
      </c>
      <c r="M1608" s="12">
        <v>4558</v>
      </c>
      <c r="N1608" s="12">
        <v>160</v>
      </c>
      <c r="O1608" s="14"/>
      <c r="P1608" s="6">
        <v>40561.999467592592</v>
      </c>
      <c r="Q1608" s="15" t="s">
        <v>5733</v>
      </c>
      <c r="R1608" s="17" t="s">
        <v>5734</v>
      </c>
      <c r="S1608" s="16" t="s">
        <v>5735</v>
      </c>
      <c r="T1608" s="11"/>
      <c r="U1608" s="10" t="str">
        <f>HYPERLINK("https://pbs.twimg.com/profile_images/769984927723126784/EBsJDzuq.jpg","View")</f>
        <v>View</v>
      </c>
    </row>
    <row r="1609" spans="1:21" ht="61.2">
      <c r="A1609" s="6">
        <v>43439.534618055557</v>
      </c>
      <c r="B1609" s="7" t="str">
        <f>HYPERLINK("https://twitter.com/buenoparapensar","@buenoparapensar")</f>
        <v>@buenoparapensar</v>
      </c>
      <c r="C1609" s="8" t="s">
        <v>5736</v>
      </c>
      <c r="D1609" s="9" t="s">
        <v>5737</v>
      </c>
      <c r="E1609" s="10" t="str">
        <f>HYPERLINK("https://twitter.com/buenoparapensar/status/1070284111468740608","1070284111468740608")</f>
        <v>1070284111468740608</v>
      </c>
      <c r="F1609" s="11"/>
      <c r="G1609" s="16" t="s">
        <v>5738</v>
      </c>
      <c r="H1609" s="11"/>
      <c r="I1609" s="12">
        <v>3</v>
      </c>
      <c r="J1609" s="12">
        <v>3</v>
      </c>
      <c r="K1609" s="13" t="str">
        <f>HYPERLINK("http://twitter.com/#!/download/ipad","Twitter for iPad")</f>
        <v>Twitter for iPad</v>
      </c>
      <c r="L1609" s="12">
        <v>514</v>
      </c>
      <c r="M1609" s="12">
        <v>84</v>
      </c>
      <c r="N1609" s="12">
        <v>3</v>
      </c>
      <c r="O1609" s="14"/>
      <c r="P1609" s="6">
        <v>41809.535925925928</v>
      </c>
      <c r="Q1609" s="15" t="s">
        <v>5739</v>
      </c>
      <c r="R1609" s="17" t="s">
        <v>5740</v>
      </c>
      <c r="S1609" s="11"/>
      <c r="T1609" s="11"/>
      <c r="U1609" s="10" t="str">
        <f>HYPERLINK("https://pbs.twimg.com/profile_images/1064092988907896832/TFuMhV6h.jpg","View")</f>
        <v>View</v>
      </c>
    </row>
    <row r="1610" spans="1:21" ht="40.799999999999997">
      <c r="A1610" s="6">
        <v>43439.533055555556</v>
      </c>
      <c r="B1610" s="7" t="str">
        <f>HYPERLINK("https://twitter.com/BegoBouzas","@BegoBouzas")</f>
        <v>@BegoBouzas</v>
      </c>
      <c r="C1610" s="8" t="s">
        <v>5741</v>
      </c>
      <c r="D1610" s="9" t="s">
        <v>5742</v>
      </c>
      <c r="E1610" s="10" t="str">
        <f>HYPERLINK("https://twitter.com/BegoBouzas/status/1070283546101727232","1070283546101727232")</f>
        <v>1070283546101727232</v>
      </c>
      <c r="F1610" s="11"/>
      <c r="G1610" s="11"/>
      <c r="H1610" s="11"/>
      <c r="I1610" s="12">
        <v>0</v>
      </c>
      <c r="J1610" s="12">
        <v>4</v>
      </c>
      <c r="K1610" s="13" t="str">
        <f t="shared" ref="K1610:K1612" si="368">HYPERLINK("http://twitter.com/download/android","Twitter for Android")</f>
        <v>Twitter for Android</v>
      </c>
      <c r="L1610" s="12">
        <v>1645</v>
      </c>
      <c r="M1610" s="12">
        <v>456</v>
      </c>
      <c r="N1610" s="12">
        <v>36</v>
      </c>
      <c r="O1610" s="14"/>
      <c r="P1610" s="6">
        <v>41308.729328703703</v>
      </c>
      <c r="Q1610" s="15" t="s">
        <v>5743</v>
      </c>
      <c r="R1610" s="17" t="s">
        <v>5744</v>
      </c>
      <c r="S1610" s="11"/>
      <c r="T1610" s="11"/>
      <c r="U1610" s="10" t="str">
        <f>HYPERLINK("https://pbs.twimg.com/profile_images/882328003790782465/vlubI_sT.jpg","View")</f>
        <v>View</v>
      </c>
    </row>
    <row r="1611" spans="1:21" ht="61.2">
      <c r="A1611" s="6">
        <v>43439.531817129631</v>
      </c>
      <c r="B1611" s="7" t="str">
        <f>HYPERLINK("https://twitter.com/dani75piscis","@dani75piscis")</f>
        <v>@dani75piscis</v>
      </c>
      <c r="C1611" s="8" t="s">
        <v>5106</v>
      </c>
      <c r="D1611" s="9" t="s">
        <v>5745</v>
      </c>
      <c r="E1611" s="10" t="str">
        <f>HYPERLINK("https://twitter.com/dani75piscis/status/1070283095595778048","1070283095595778048")</f>
        <v>1070283095595778048</v>
      </c>
      <c r="F1611" s="11"/>
      <c r="G1611" s="16" t="s">
        <v>5746</v>
      </c>
      <c r="H1611" s="11"/>
      <c r="I1611" s="12">
        <v>0</v>
      </c>
      <c r="J1611" s="12">
        <v>0</v>
      </c>
      <c r="K1611" s="13" t="str">
        <f t="shared" si="368"/>
        <v>Twitter for Android</v>
      </c>
      <c r="L1611" s="12">
        <v>1186</v>
      </c>
      <c r="M1611" s="12">
        <v>666</v>
      </c>
      <c r="N1611" s="12">
        <v>7</v>
      </c>
      <c r="O1611" s="14"/>
      <c r="P1611" s="6">
        <v>41118.559930555552</v>
      </c>
      <c r="Q1611" s="11"/>
      <c r="R1611" s="17" t="s">
        <v>5110</v>
      </c>
      <c r="S1611" s="11"/>
      <c r="T1611" s="11"/>
      <c r="U1611" s="10" t="str">
        <f>HYPERLINK("https://pbs.twimg.com/profile_images/982973906674966528/hXEUcOTV.jpg","View")</f>
        <v>View</v>
      </c>
    </row>
    <row r="1612" spans="1:21" ht="30.6">
      <c r="A1612" s="6">
        <v>43439.531481481477</v>
      </c>
      <c r="B1612" s="7" t="str">
        <f>HYPERLINK("https://twitter.com/JManchegas","@JManchegas")</f>
        <v>@JManchegas</v>
      </c>
      <c r="C1612" s="8" t="s">
        <v>5747</v>
      </c>
      <c r="D1612" s="9" t="s">
        <v>5748</v>
      </c>
      <c r="E1612" s="10" t="str">
        <f>HYPERLINK("https://twitter.com/JManchegas/status/1070282973323452419","1070282973323452419")</f>
        <v>1070282973323452419</v>
      </c>
      <c r="F1612" s="11"/>
      <c r="G1612" s="11"/>
      <c r="H1612" s="11"/>
      <c r="I1612" s="12">
        <v>0</v>
      </c>
      <c r="J1612" s="12">
        <v>2</v>
      </c>
      <c r="K1612" s="13" t="str">
        <f t="shared" si="368"/>
        <v>Twitter for Android</v>
      </c>
      <c r="L1612" s="12">
        <v>132</v>
      </c>
      <c r="M1612" s="12">
        <v>367</v>
      </c>
      <c r="N1612" s="12">
        <v>1</v>
      </c>
      <c r="O1612" s="14"/>
      <c r="P1612" s="6">
        <v>43079.977824074071</v>
      </c>
      <c r="Q1612" s="15" t="s">
        <v>612</v>
      </c>
      <c r="R1612" s="17" t="s">
        <v>5749</v>
      </c>
      <c r="S1612" s="16" t="s">
        <v>5750</v>
      </c>
      <c r="T1612" s="11"/>
      <c r="U1612" s="10" t="str">
        <f>HYPERLINK("https://pbs.twimg.com/profile_images/965928149413490688/_loiZ4kF.jpg","View")</f>
        <v>View</v>
      </c>
    </row>
    <row r="1613" spans="1:21" ht="61.2">
      <c r="A1613" s="6">
        <v>43439.53061342593</v>
      </c>
      <c r="B1613" s="7" t="str">
        <f>HYPERLINK("https://twitter.com/lavoxviva","@lavoxviva")</f>
        <v>@lavoxviva</v>
      </c>
      <c r="C1613" s="8" t="s">
        <v>706</v>
      </c>
      <c r="D1613" s="9" t="s">
        <v>5751</v>
      </c>
      <c r="E1613" s="10" t="str">
        <f>HYPERLINK("https://twitter.com/lavoxviva/status/1070282660461854721","1070282660461854721")</f>
        <v>1070282660461854721</v>
      </c>
      <c r="F1613" s="11"/>
      <c r="G1613" s="16" t="s">
        <v>5752</v>
      </c>
      <c r="H1613" s="11"/>
      <c r="I1613" s="12">
        <v>7</v>
      </c>
      <c r="J1613" s="12">
        <v>8</v>
      </c>
      <c r="K1613" s="13" t="str">
        <f>HYPERLINK("http://twitter.com","Twitter Web Client")</f>
        <v>Twitter Web Client</v>
      </c>
      <c r="L1613" s="12">
        <v>86</v>
      </c>
      <c r="M1613" s="12">
        <v>73</v>
      </c>
      <c r="N1613" s="12">
        <v>1</v>
      </c>
      <c r="O1613" s="14"/>
      <c r="P1613" s="6">
        <v>43082.406747685185</v>
      </c>
      <c r="Q1613" s="15" t="s">
        <v>709</v>
      </c>
      <c r="R1613" s="18"/>
      <c r="S1613" s="11"/>
      <c r="T1613" s="11"/>
      <c r="U1613" s="10" t="str">
        <f>HYPERLINK("https://pbs.twimg.com/profile_images/1032042910496243712/uolxSyqG.jpg","View")</f>
        <v>View</v>
      </c>
    </row>
    <row r="1614" spans="1:21" ht="51">
      <c r="A1614" s="6">
        <v>43439.529942129629</v>
      </c>
      <c r="B1614" s="7" t="str">
        <f>HYPERLINK("https://twitter.com/LaBoheme_2018","@LaBoheme_2018")</f>
        <v>@LaBoheme_2018</v>
      </c>
      <c r="C1614" s="8" t="s">
        <v>5753</v>
      </c>
      <c r="D1614" s="9" t="s">
        <v>5754</v>
      </c>
      <c r="E1614" s="10" t="str">
        <f>HYPERLINK("https://twitter.com/LaBoheme_2018/status/1070282417062207488","1070282417062207488")</f>
        <v>1070282417062207488</v>
      </c>
      <c r="F1614" s="16" t="s">
        <v>5755</v>
      </c>
      <c r="G1614" s="11"/>
      <c r="H1614" s="11"/>
      <c r="I1614" s="12">
        <v>0</v>
      </c>
      <c r="J1614" s="12">
        <v>0</v>
      </c>
      <c r="K1614" s="13" t="str">
        <f>HYPERLINK("http://twitter.com/#!/download/ipad","Twitter for iPad")</f>
        <v>Twitter for iPad</v>
      </c>
      <c r="L1614" s="12">
        <v>25</v>
      </c>
      <c r="M1614" s="12">
        <v>116</v>
      </c>
      <c r="N1614" s="12">
        <v>0</v>
      </c>
      <c r="O1614" s="14"/>
      <c r="P1614" s="6">
        <v>43430.430983796294</v>
      </c>
      <c r="Q1614" s="11"/>
      <c r="R1614" s="17" t="s">
        <v>5756</v>
      </c>
      <c r="S1614" s="11"/>
      <c r="T1614" s="11"/>
      <c r="U1614" s="10" t="str">
        <f>HYPERLINK("https://pbs.twimg.com/profile_images/1066985810392743936/qWK1nYcA.jpg","View")</f>
        <v>View</v>
      </c>
    </row>
    <row r="1615" spans="1:21" ht="51">
      <c r="A1615" s="6">
        <v>43439.529479166667</v>
      </c>
      <c r="B1615" s="7" t="str">
        <f>HYPERLINK("https://twitter.com/magg_1986","@magg_1986")</f>
        <v>@magg_1986</v>
      </c>
      <c r="C1615" s="8" t="s">
        <v>5757</v>
      </c>
      <c r="D1615" s="9" t="s">
        <v>5758</v>
      </c>
      <c r="E1615" s="10" t="str">
        <f>HYPERLINK("https://twitter.com/magg_1986/status/1070282246106595329","1070282246106595329")</f>
        <v>1070282246106595329</v>
      </c>
      <c r="F1615" s="15" t="s">
        <v>5759</v>
      </c>
      <c r="G1615" s="11"/>
      <c r="H1615" s="11"/>
      <c r="I1615" s="12">
        <v>0</v>
      </c>
      <c r="J1615" s="12">
        <v>0</v>
      </c>
      <c r="K1615" s="13" t="str">
        <f>HYPERLINK("http://twitter.com/download/iphone","Twitter for iPhone")</f>
        <v>Twitter for iPhone</v>
      </c>
      <c r="L1615" s="12">
        <v>613</v>
      </c>
      <c r="M1615" s="12">
        <v>470</v>
      </c>
      <c r="N1615" s="12">
        <v>3</v>
      </c>
      <c r="O1615" s="14"/>
      <c r="P1615" s="6">
        <v>40664.853692129633</v>
      </c>
      <c r="Q1615" s="15" t="s">
        <v>5760</v>
      </c>
      <c r="R1615" s="18"/>
      <c r="S1615" s="11"/>
      <c r="T1615" s="11"/>
      <c r="U1615" s="10" t="str">
        <f>HYPERLINK("https://pbs.twimg.com/profile_images/378800000410219697/439a34a3176aa21f7003e11f87c09c28.jpeg","View")</f>
        <v>View</v>
      </c>
    </row>
    <row r="1616" spans="1:21" ht="30.6">
      <c r="A1616" s="6">
        <v>43439.527326388888</v>
      </c>
      <c r="B1616" s="7" t="str">
        <f>HYPERLINK("https://twitter.com/Cterhode","@Cterhode")</f>
        <v>@Cterhode</v>
      </c>
      <c r="C1616" s="8" t="s">
        <v>5761</v>
      </c>
      <c r="D1616" s="9" t="s">
        <v>5762</v>
      </c>
      <c r="E1616" s="10" t="str">
        <f>HYPERLINK("https://twitter.com/Cterhode/status/1070281469833175041","1070281469833175041")</f>
        <v>1070281469833175041</v>
      </c>
      <c r="F1616" s="16" t="s">
        <v>5763</v>
      </c>
      <c r="G1616" s="11"/>
      <c r="H1616" s="11"/>
      <c r="I1616" s="12">
        <v>0</v>
      </c>
      <c r="J1616" s="12">
        <v>0</v>
      </c>
      <c r="K1616" s="13" t="str">
        <f t="shared" ref="K1616:K1618" si="369">HYPERLINK("http://twitter.com/download/android","Twitter for Android")</f>
        <v>Twitter for Android</v>
      </c>
      <c r="L1616" s="12">
        <v>594</v>
      </c>
      <c r="M1616" s="12">
        <v>1362</v>
      </c>
      <c r="N1616" s="12">
        <v>18</v>
      </c>
      <c r="O1616" s="14"/>
      <c r="P1616" s="6">
        <v>40008.650925925926</v>
      </c>
      <c r="Q1616" s="15" t="s">
        <v>5764</v>
      </c>
      <c r="R1616" s="17" t="s">
        <v>5765</v>
      </c>
      <c r="S1616" s="11"/>
      <c r="T1616" s="11"/>
      <c r="U1616" s="10" t="str">
        <f>HYPERLINK("https://pbs.twimg.com/profile_images/601161057353265153/PpyVWFtW.jpg","View")</f>
        <v>View</v>
      </c>
    </row>
    <row r="1617" spans="1:21" ht="30.6">
      <c r="A1617" s="6">
        <v>43439.527175925927</v>
      </c>
      <c r="B1617" s="7" t="str">
        <f>HYPERLINK("https://twitter.com/yoymisombra","@yoymisombra")</f>
        <v>@yoymisombra</v>
      </c>
      <c r="C1617" s="8" t="s">
        <v>4411</v>
      </c>
      <c r="D1617" s="9" t="s">
        <v>5766</v>
      </c>
      <c r="E1617" s="10" t="str">
        <f>HYPERLINK("https://twitter.com/yoymisombra/status/1070281413407227905","1070281413407227905")</f>
        <v>1070281413407227905</v>
      </c>
      <c r="F1617" s="16" t="s">
        <v>5767</v>
      </c>
      <c r="G1617" s="11"/>
      <c r="H1617" s="11"/>
      <c r="I1617" s="12">
        <v>0</v>
      </c>
      <c r="J1617" s="12">
        <v>0</v>
      </c>
      <c r="K1617" s="13" t="str">
        <f t="shared" si="369"/>
        <v>Twitter for Android</v>
      </c>
      <c r="L1617" s="12">
        <v>491</v>
      </c>
      <c r="M1617" s="12">
        <v>999</v>
      </c>
      <c r="N1617" s="12">
        <v>4</v>
      </c>
      <c r="O1617" s="14"/>
      <c r="P1617" s="6">
        <v>43004.918356481481</v>
      </c>
      <c r="Q1617" s="15" t="s">
        <v>4413</v>
      </c>
      <c r="R1617" s="17" t="s">
        <v>4414</v>
      </c>
      <c r="S1617" s="11"/>
      <c r="T1617" s="11"/>
      <c r="U1617" s="10" t="str">
        <f>HYPERLINK("https://pbs.twimg.com/profile_images/1053678920082563073/jCsGna26.jpg","View")</f>
        <v>View</v>
      </c>
    </row>
    <row r="1618" spans="1:21" ht="61.2">
      <c r="A1618" s="6">
        <v>43439.526932870373</v>
      </c>
      <c r="B1618" s="7" t="str">
        <f>HYPERLINK("https://twitter.com/Efesios61317","@Efesios61317")</f>
        <v>@Efesios61317</v>
      </c>
      <c r="C1618" s="8" t="s">
        <v>5768</v>
      </c>
      <c r="D1618" s="9" t="s">
        <v>5769</v>
      </c>
      <c r="E1618" s="10" t="str">
        <f>HYPERLINK("https://twitter.com/Efesios61317/status/1070281324840259584","1070281324840259584")</f>
        <v>1070281324840259584</v>
      </c>
      <c r="F1618" s="11"/>
      <c r="G1618" s="11"/>
      <c r="H1618" s="11"/>
      <c r="I1618" s="12">
        <v>0</v>
      </c>
      <c r="J1618" s="12">
        <v>0</v>
      </c>
      <c r="K1618" s="13" t="str">
        <f t="shared" si="369"/>
        <v>Twitter for Android</v>
      </c>
      <c r="L1618" s="12">
        <v>245</v>
      </c>
      <c r="M1618" s="12">
        <v>438</v>
      </c>
      <c r="N1618" s="12">
        <v>0</v>
      </c>
      <c r="O1618" s="14"/>
      <c r="P1618" s="6">
        <v>43178.994259259256</v>
      </c>
      <c r="Q1618" s="11"/>
      <c r="R1618" s="18"/>
      <c r="S1618" s="11"/>
      <c r="T1618" s="11"/>
      <c r="U1618" s="10" t="str">
        <f>HYPERLINK("https://pbs.twimg.com/profile_images/976104880216690688/5lUs1_Cv.jpg","View")</f>
        <v>View</v>
      </c>
    </row>
    <row r="1619" spans="1:21" ht="30.6">
      <c r="A1619" s="6">
        <v>43439.52621527778</v>
      </c>
      <c r="B1619" s="7" t="str">
        <f>HYPERLINK("https://twitter.com/alarcon_albaa","@alarcon_albaa")</f>
        <v>@alarcon_albaa</v>
      </c>
      <c r="C1619" s="8" t="s">
        <v>5770</v>
      </c>
      <c r="D1619" s="9" t="s">
        <v>5771</v>
      </c>
      <c r="E1619" s="10" t="str">
        <f>HYPERLINK("https://twitter.com/alarcon_albaa/status/1070281063929430016","1070281063929430016")</f>
        <v>1070281063929430016</v>
      </c>
      <c r="F1619" s="11"/>
      <c r="G1619" s="16" t="s">
        <v>5772</v>
      </c>
      <c r="H1619" s="11"/>
      <c r="I1619" s="12">
        <v>0</v>
      </c>
      <c r="J1619" s="12">
        <v>0</v>
      </c>
      <c r="K1619" s="13" t="str">
        <f>HYPERLINK("http://twitter.com/download/iphone","Twitter for iPhone")</f>
        <v>Twitter for iPhone</v>
      </c>
      <c r="L1619" s="12">
        <v>543</v>
      </c>
      <c r="M1619" s="12">
        <v>238</v>
      </c>
      <c r="N1619" s="12">
        <v>4</v>
      </c>
      <c r="O1619" s="14"/>
      <c r="P1619" s="6">
        <v>40611.111516203702</v>
      </c>
      <c r="Q1619" s="15" t="s">
        <v>5773</v>
      </c>
      <c r="R1619" s="17" t="s">
        <v>5774</v>
      </c>
      <c r="S1619" s="16" t="s">
        <v>5775</v>
      </c>
      <c r="T1619" s="11"/>
      <c r="U1619" s="10" t="str">
        <f>HYPERLINK("https://pbs.twimg.com/profile_images/1068404679934181376/qicw_-3s.jpg","View")</f>
        <v>View</v>
      </c>
    </row>
    <row r="1620" spans="1:21" ht="61.2">
      <c r="A1620" s="6">
        <v>43439.525914351849</v>
      </c>
      <c r="B1620" s="7" t="str">
        <f>HYPERLINK("https://twitter.com/psolidaridad","@psolidaridad")</f>
        <v>@psolidaridad</v>
      </c>
      <c r="C1620" s="8" t="s">
        <v>159</v>
      </c>
      <c r="D1620" s="9" t="s">
        <v>5776</v>
      </c>
      <c r="E1620" s="10" t="str">
        <f>HYPERLINK("https://twitter.com/psolidaridad/status/1070280955850645504","1070280955850645504")</f>
        <v>1070280955850645504</v>
      </c>
      <c r="F1620" s="16" t="s">
        <v>5777</v>
      </c>
      <c r="G1620" s="11"/>
      <c r="H1620" s="11"/>
      <c r="I1620" s="12">
        <v>1</v>
      </c>
      <c r="J1620" s="12">
        <v>0</v>
      </c>
      <c r="K1620" s="13" t="str">
        <f>HYPERLINK("http://twitter.com/download/android","Twitter for Android")</f>
        <v>Twitter for Android</v>
      </c>
      <c r="L1620" s="12">
        <v>1623</v>
      </c>
      <c r="M1620" s="12">
        <v>4841</v>
      </c>
      <c r="N1620" s="12">
        <v>1</v>
      </c>
      <c r="O1620" s="14"/>
      <c r="P1620" s="6">
        <v>41803.502372685187</v>
      </c>
      <c r="Q1620" s="11"/>
      <c r="R1620" s="17" t="s">
        <v>162</v>
      </c>
      <c r="S1620" s="11"/>
      <c r="T1620" s="11"/>
      <c r="U1620" s="10" t="str">
        <f>HYPERLINK("https://pbs.twimg.com/profile_images/1030394358397317120/oQ0F2vnz.jpg","View")</f>
        <v>View</v>
      </c>
    </row>
    <row r="1621" spans="1:21" ht="102">
      <c r="A1621" s="6">
        <v>43439.525868055556</v>
      </c>
      <c r="B1621" s="7" t="str">
        <f>HYPERLINK("https://twitter.com/aitortelini","@aitortelini")</f>
        <v>@aitortelini</v>
      </c>
      <c r="C1621" s="8" t="s">
        <v>5778</v>
      </c>
      <c r="D1621" s="9" t="s">
        <v>5779</v>
      </c>
      <c r="E1621" s="10" t="str">
        <f>HYPERLINK("https://twitter.com/aitortelini/status/1070280937517301761","1070280937517301761")</f>
        <v>1070280937517301761</v>
      </c>
      <c r="F1621" s="16" t="s">
        <v>5780</v>
      </c>
      <c r="G1621" s="16" t="s">
        <v>5781</v>
      </c>
      <c r="H1621" s="11"/>
      <c r="I1621" s="12">
        <v>0</v>
      </c>
      <c r="J1621" s="12">
        <v>1</v>
      </c>
      <c r="K1621" s="13" t="str">
        <f>HYPERLINK("http://twitter.com/download/iphone","Twitter for iPhone")</f>
        <v>Twitter for iPhone</v>
      </c>
      <c r="L1621" s="12">
        <v>333</v>
      </c>
      <c r="M1621" s="12">
        <v>2485</v>
      </c>
      <c r="N1621" s="12">
        <v>2</v>
      </c>
      <c r="O1621" s="14"/>
      <c r="P1621" s="6">
        <v>41114.499178240745</v>
      </c>
      <c r="Q1621" s="15" t="s">
        <v>2527</v>
      </c>
      <c r="R1621" s="17" t="s">
        <v>5782</v>
      </c>
      <c r="S1621" s="11"/>
      <c r="T1621" s="11"/>
      <c r="U1621" s="10" t="str">
        <f>HYPERLINK("https://pbs.twimg.com/profile_images/1007590669823733760/bYYMnfCY.jpg","View")</f>
        <v>View</v>
      </c>
    </row>
    <row r="1622" spans="1:21" ht="51">
      <c r="A1622" s="6">
        <v>43439.525092592594</v>
      </c>
      <c r="B1622" s="7" t="str">
        <f>HYPERLINK("https://twitter.com/HispaniaFortius","@HispaniaFortius")</f>
        <v>@HispaniaFortius</v>
      </c>
      <c r="C1622" s="8" t="s">
        <v>1078</v>
      </c>
      <c r="D1622" s="9" t="s">
        <v>5783</v>
      </c>
      <c r="E1622" s="10" t="str">
        <f>HYPERLINK("https://twitter.com/HispaniaFortius/status/1070280657320988673","1070280657320988673")</f>
        <v>1070280657320988673</v>
      </c>
      <c r="F1622" s="11"/>
      <c r="G1622" s="16" t="s">
        <v>5784</v>
      </c>
      <c r="H1622" s="11"/>
      <c r="I1622" s="12">
        <v>51</v>
      </c>
      <c r="J1622" s="12">
        <v>44</v>
      </c>
      <c r="K1622" s="13" t="str">
        <f t="shared" ref="K1622:K1623" si="370">HYPERLINK("http://twitter.com","Twitter Web Client")</f>
        <v>Twitter Web Client</v>
      </c>
      <c r="L1622" s="12">
        <v>4830</v>
      </c>
      <c r="M1622" s="12">
        <v>3180</v>
      </c>
      <c r="N1622" s="12">
        <v>25</v>
      </c>
      <c r="O1622" s="14"/>
      <c r="P1622" s="6">
        <v>42705.48436342593</v>
      </c>
      <c r="Q1622" s="15" t="s">
        <v>1081</v>
      </c>
      <c r="R1622" s="17" t="s">
        <v>1082</v>
      </c>
      <c r="S1622" s="16" t="s">
        <v>1083</v>
      </c>
      <c r="T1622" s="11"/>
      <c r="U1622" s="10" t="str">
        <f>HYPERLINK("https://pbs.twimg.com/profile_images/1046663897560829952/eNO1bPMq.jpg","View")</f>
        <v>View</v>
      </c>
    </row>
    <row r="1623" spans="1:21" ht="20.399999999999999">
      <c r="A1623" s="6">
        <v>43439.524016203708</v>
      </c>
      <c r="B1623" s="7" t="str">
        <f>HYPERLINK("https://twitter.com/JaviCk25","@JaviCk25")</f>
        <v>@JaviCk25</v>
      </c>
      <c r="C1623" s="8" t="s">
        <v>5785</v>
      </c>
      <c r="D1623" s="9" t="s">
        <v>5786</v>
      </c>
      <c r="E1623" s="10" t="str">
        <f>HYPERLINK("https://twitter.com/JaviCk25/status/1070280267049394177","1070280267049394177")</f>
        <v>1070280267049394177</v>
      </c>
      <c r="F1623" s="11"/>
      <c r="G1623" s="11"/>
      <c r="H1623" s="11"/>
      <c r="I1623" s="12">
        <v>0</v>
      </c>
      <c r="J1623" s="12">
        <v>0</v>
      </c>
      <c r="K1623" s="13" t="str">
        <f t="shared" si="370"/>
        <v>Twitter Web Client</v>
      </c>
      <c r="L1623" s="12">
        <v>602</v>
      </c>
      <c r="M1623" s="12">
        <v>597</v>
      </c>
      <c r="N1623" s="12">
        <v>6</v>
      </c>
      <c r="O1623" s="14"/>
      <c r="P1623" s="6">
        <v>40782.504641203705</v>
      </c>
      <c r="Q1623" s="15" t="s">
        <v>1440</v>
      </c>
      <c r="R1623" s="17" t="s">
        <v>5787</v>
      </c>
      <c r="S1623" s="11"/>
      <c r="T1623" s="11"/>
      <c r="U1623" s="10" t="str">
        <f>HYPERLINK("https://pbs.twimg.com/profile_images/997083412128305153/waRiMnxF.jpg","View")</f>
        <v>View</v>
      </c>
    </row>
    <row r="1624" spans="1:21" ht="30.6">
      <c r="A1624" s="6">
        <v>43439.523912037039</v>
      </c>
      <c r="B1624" s="7" t="str">
        <f>HYPERLINK("https://twitter.com/josu44","@josu44")</f>
        <v>@josu44</v>
      </c>
      <c r="C1624" s="8" t="s">
        <v>5788</v>
      </c>
      <c r="D1624" s="9" t="s">
        <v>5789</v>
      </c>
      <c r="E1624" s="10" t="str">
        <f>HYPERLINK("https://twitter.com/josu44/status/1070280231834054657","1070280231834054657")</f>
        <v>1070280231834054657</v>
      </c>
      <c r="F1624" s="11"/>
      <c r="G1624" s="11"/>
      <c r="H1624" s="11"/>
      <c r="I1624" s="12">
        <v>0</v>
      </c>
      <c r="J1624" s="12">
        <v>0</v>
      </c>
      <c r="K1624" s="13" t="str">
        <f t="shared" ref="K1624:K1625" si="371">HYPERLINK("http://twitter.com/download/iphone","Twitter for iPhone")</f>
        <v>Twitter for iPhone</v>
      </c>
      <c r="L1624" s="12">
        <v>97</v>
      </c>
      <c r="M1624" s="12">
        <v>83</v>
      </c>
      <c r="N1624" s="12">
        <v>4</v>
      </c>
      <c r="O1624" s="14"/>
      <c r="P1624" s="6">
        <v>40444.004444444443</v>
      </c>
      <c r="Q1624" s="11"/>
      <c r="R1624" s="17" t="s">
        <v>5790</v>
      </c>
      <c r="S1624" s="11"/>
      <c r="T1624" s="11"/>
      <c r="U1624" s="10" t="str">
        <f>HYPERLINK("https://pbs.twimg.com/profile_images/1065863408023683072/crFfScMf.jpg","View")</f>
        <v>View</v>
      </c>
    </row>
    <row r="1625" spans="1:21" ht="20.399999999999999">
      <c r="A1625" s="6">
        <v>43439.523402777777</v>
      </c>
      <c r="B1625" s="7" t="str">
        <f>HYPERLINK("https://twitter.com/daniphernandez","@daniphernandez")</f>
        <v>@daniphernandez</v>
      </c>
      <c r="C1625" s="8" t="s">
        <v>5791</v>
      </c>
      <c r="D1625" s="9" t="s">
        <v>5792</v>
      </c>
      <c r="E1625" s="10" t="str">
        <f>HYPERLINK("https://twitter.com/daniphernandez/status/1070280047418851328","1070280047418851328")</f>
        <v>1070280047418851328</v>
      </c>
      <c r="F1625" s="11"/>
      <c r="G1625" s="11"/>
      <c r="H1625" s="11"/>
      <c r="I1625" s="12">
        <v>0</v>
      </c>
      <c r="J1625" s="12">
        <v>0</v>
      </c>
      <c r="K1625" s="13" t="str">
        <f t="shared" si="371"/>
        <v>Twitter for iPhone</v>
      </c>
      <c r="L1625" s="12">
        <v>646</v>
      </c>
      <c r="M1625" s="12">
        <v>231</v>
      </c>
      <c r="N1625" s="12">
        <v>1</v>
      </c>
      <c r="O1625" s="14"/>
      <c r="P1625" s="6">
        <v>41093.456562499996</v>
      </c>
      <c r="Q1625" s="15" t="s">
        <v>612</v>
      </c>
      <c r="R1625" s="17" t="s">
        <v>5793</v>
      </c>
      <c r="S1625" s="11"/>
      <c r="T1625" s="11"/>
      <c r="U1625" s="10" t="str">
        <f>HYPERLINK("https://pbs.twimg.com/profile_images/1062836977840611328/BaTJCHz6.jpg","View")</f>
        <v>View</v>
      </c>
    </row>
    <row r="1626" spans="1:21" ht="30.6">
      <c r="A1626" s="6">
        <v>43439.523194444446</v>
      </c>
      <c r="B1626" s="7" t="str">
        <f>HYPERLINK("https://twitter.com/chatbotempresas","@chatbotempresas")</f>
        <v>@chatbotempresas</v>
      </c>
      <c r="C1626" s="8" t="s">
        <v>5794</v>
      </c>
      <c r="D1626" s="9" t="s">
        <v>5795</v>
      </c>
      <c r="E1626" s="10" t="str">
        <f>HYPERLINK("https://twitter.com/chatbotempresas/status/1070279969425768448","1070279969425768448")</f>
        <v>1070279969425768448</v>
      </c>
      <c r="F1626" s="16" t="s">
        <v>5796</v>
      </c>
      <c r="G1626" s="16" t="s">
        <v>5797</v>
      </c>
      <c r="H1626" s="11"/>
      <c r="I1626" s="12">
        <v>0</v>
      </c>
      <c r="J1626" s="12">
        <v>0</v>
      </c>
      <c r="K1626" s="13" t="str">
        <f>HYPERLINK("https://ifttt.com","IFTTT")</f>
        <v>IFTTT</v>
      </c>
      <c r="L1626" s="12">
        <v>43</v>
      </c>
      <c r="M1626" s="12">
        <v>94</v>
      </c>
      <c r="N1626" s="12">
        <v>2</v>
      </c>
      <c r="O1626" s="14"/>
      <c r="P1626" s="6">
        <v>42905.918240740742</v>
      </c>
      <c r="Q1626" s="11"/>
      <c r="R1626" s="17" t="s">
        <v>5798</v>
      </c>
      <c r="S1626" s="11"/>
      <c r="T1626" s="11"/>
      <c r="U1626" s="10" t="str">
        <f>HYPERLINK("https://pbs.twimg.com/profile_images/898270074481426432/0JImBaVq.jpg","View")</f>
        <v>View</v>
      </c>
    </row>
    <row r="1627" spans="1:21" ht="30.6">
      <c r="A1627" s="6">
        <v>43439.522997685184</v>
      </c>
      <c r="B1627" s="7" t="str">
        <f>HYPERLINK("https://twitter.com/enjakeETB","@enjakeETB")</f>
        <v>@enjakeETB</v>
      </c>
      <c r="C1627" s="8" t="s">
        <v>5799</v>
      </c>
      <c r="D1627" s="9" t="s">
        <v>5800</v>
      </c>
      <c r="E1627" s="10" t="str">
        <f>HYPERLINK("https://twitter.com/enjakeETB/status/1070279899196387328","1070279899196387328")</f>
        <v>1070279899196387328</v>
      </c>
      <c r="F1627" s="16" t="s">
        <v>5801</v>
      </c>
      <c r="G1627" s="16" t="s">
        <v>5802</v>
      </c>
      <c r="H1627" s="11"/>
      <c r="I1627" s="12">
        <v>48</v>
      </c>
      <c r="J1627" s="12">
        <v>28</v>
      </c>
      <c r="K1627" s="13" t="str">
        <f>HYPERLINK("http://twitter.com","Twitter Web Client")</f>
        <v>Twitter Web Client</v>
      </c>
      <c r="L1627" s="12">
        <v>4212</v>
      </c>
      <c r="M1627" s="12">
        <v>241</v>
      </c>
      <c r="N1627" s="12">
        <v>54</v>
      </c>
      <c r="O1627" s="14"/>
      <c r="P1627" s="6">
        <v>40206.661689814813</v>
      </c>
      <c r="Q1627" s="15" t="s">
        <v>1202</v>
      </c>
      <c r="R1627" s="17" t="s">
        <v>5803</v>
      </c>
      <c r="S1627" s="16" t="s">
        <v>5804</v>
      </c>
      <c r="T1627" s="11"/>
      <c r="U1627" s="10" t="str">
        <f>HYPERLINK("https://pbs.twimg.com/profile_images/1034371688136421376/rRWCNSOY.jpg","View")</f>
        <v>View</v>
      </c>
    </row>
    <row r="1628" spans="1:21" ht="30.6">
      <c r="A1628" s="6">
        <v>43439.520833333328</v>
      </c>
      <c r="B1628" s="7" t="str">
        <f>HYPERLINK("https://twitter.com/telecincoes","@telecincoes")</f>
        <v>@telecincoes</v>
      </c>
      <c r="C1628" s="8" t="s">
        <v>5805</v>
      </c>
      <c r="D1628" s="9" t="s">
        <v>5806</v>
      </c>
      <c r="E1628" s="10" t="str">
        <f>HYPERLINK("https://twitter.com/telecincoes/status/1070279115100614656","1070279115100614656")</f>
        <v>1070279115100614656</v>
      </c>
      <c r="F1628" s="16" t="s">
        <v>5807</v>
      </c>
      <c r="G1628" s="16" t="s">
        <v>5808</v>
      </c>
      <c r="H1628" s="11"/>
      <c r="I1628" s="12">
        <v>9</v>
      </c>
      <c r="J1628" s="12">
        <v>20</v>
      </c>
      <c r="K1628" s="13" t="str">
        <f>HYPERLINK("https://about.twitter.com/products/tweetdeck","TweetDeck")</f>
        <v>TweetDeck</v>
      </c>
      <c r="L1628" s="12">
        <v>1577593</v>
      </c>
      <c r="M1628" s="12">
        <v>1363</v>
      </c>
      <c r="N1628" s="12">
        <v>3720</v>
      </c>
      <c r="O1628" s="23" t="s">
        <v>89</v>
      </c>
      <c r="P1628" s="6">
        <v>39848.01626157407</v>
      </c>
      <c r="Q1628" s="15" t="s">
        <v>5809</v>
      </c>
      <c r="R1628" s="17" t="s">
        <v>5810</v>
      </c>
      <c r="S1628" s="16" t="s">
        <v>5811</v>
      </c>
      <c r="T1628" s="11"/>
      <c r="U1628" s="10" t="str">
        <f>HYPERLINK("https://pbs.twimg.com/profile_images/903296444697858048/yS_V6Bk4.jpg","View")</f>
        <v>View</v>
      </c>
    </row>
    <row r="1629" spans="1:21" ht="51">
      <c r="A1629" s="6">
        <v>43439.519745370373</v>
      </c>
      <c r="B1629" s="7" t="str">
        <f>HYPERLINK("https://twitter.com/Kkokoman","@Kkokoman")</f>
        <v>@Kkokoman</v>
      </c>
      <c r="C1629" s="8" t="s">
        <v>5812</v>
      </c>
      <c r="D1629" s="9" t="s">
        <v>5813</v>
      </c>
      <c r="E1629" s="10" t="str">
        <f>HYPERLINK("https://twitter.com/Kkokoman/status/1070278720865357825","1070278720865357825")</f>
        <v>1070278720865357825</v>
      </c>
      <c r="F1629" s="11"/>
      <c r="G1629" s="11"/>
      <c r="H1629" s="11"/>
      <c r="I1629" s="12">
        <v>0</v>
      </c>
      <c r="J1629" s="12">
        <v>1</v>
      </c>
      <c r="K1629" s="13" t="str">
        <f>HYPERLINK("http://twitter.com/download/android","Twitter for Android")</f>
        <v>Twitter for Android</v>
      </c>
      <c r="L1629" s="12">
        <v>141</v>
      </c>
      <c r="M1629" s="12">
        <v>126</v>
      </c>
      <c r="N1629" s="12">
        <v>0</v>
      </c>
      <c r="O1629" s="14"/>
      <c r="P1629" s="6">
        <v>40477.024131944447</v>
      </c>
      <c r="Q1629" s="15" t="s">
        <v>5814</v>
      </c>
      <c r="R1629" s="18"/>
      <c r="S1629" s="11"/>
      <c r="T1629" s="11"/>
      <c r="U1629" s="10" t="str">
        <f>HYPERLINK("https://pbs.twimg.com/profile_images/642812028109897728/dkLuwFDm.jpg","View")</f>
        <v>View</v>
      </c>
    </row>
    <row r="1630" spans="1:21" ht="51">
      <c r="A1630" s="6">
        <v>43439.519548611112</v>
      </c>
      <c r="B1630" s="7" t="str">
        <f>HYPERLINK("https://twitter.com/DominJaen99","@DominJaen99")</f>
        <v>@DominJaen99</v>
      </c>
      <c r="C1630" s="8" t="s">
        <v>5815</v>
      </c>
      <c r="D1630" s="9" t="s">
        <v>5816</v>
      </c>
      <c r="E1630" s="10" t="str">
        <f>HYPERLINK("https://twitter.com/DominJaen99/status/1070278649197281280","1070278649197281280")</f>
        <v>1070278649197281280</v>
      </c>
      <c r="F1630" s="11"/>
      <c r="G1630" s="11"/>
      <c r="H1630" s="11"/>
      <c r="I1630" s="12">
        <v>0</v>
      </c>
      <c r="J1630" s="12">
        <v>0</v>
      </c>
      <c r="K1630" s="13" t="str">
        <f>HYPERLINK("http://twitter.com","Twitter Web Client")</f>
        <v>Twitter Web Client</v>
      </c>
      <c r="L1630" s="12">
        <v>551</v>
      </c>
      <c r="M1630" s="12">
        <v>682</v>
      </c>
      <c r="N1630" s="12">
        <v>2</v>
      </c>
      <c r="O1630" s="14"/>
      <c r="P1630" s="6">
        <v>40880.410486111112</v>
      </c>
      <c r="Q1630" s="15" t="s">
        <v>5817</v>
      </c>
      <c r="R1630" s="17" t="s">
        <v>5818</v>
      </c>
      <c r="S1630" s="16" t="s">
        <v>5819</v>
      </c>
      <c r="T1630" s="11"/>
      <c r="U1630" s="10" t="str">
        <f>HYPERLINK("https://pbs.twimg.com/profile_images/923100998297706496/YrIkqE29.jpg","View")</f>
        <v>View</v>
      </c>
    </row>
    <row r="1631" spans="1:21" ht="51">
      <c r="A1631" s="6">
        <v>43439.519409722227</v>
      </c>
      <c r="B1631" s="7" t="str">
        <f>HYPERLINK("https://twitter.com/_Juan__A","@_Juan__A")</f>
        <v>@_Juan__A</v>
      </c>
      <c r="C1631" s="8" t="s">
        <v>3442</v>
      </c>
      <c r="D1631" s="9" t="s">
        <v>5820</v>
      </c>
      <c r="E1631" s="10" t="str">
        <f>HYPERLINK("https://twitter.com/_Juan__A/status/1070278599473856512","1070278599473856512")</f>
        <v>1070278599473856512</v>
      </c>
      <c r="F1631" s="11"/>
      <c r="G1631" s="16" t="s">
        <v>5821</v>
      </c>
      <c r="H1631" s="11"/>
      <c r="I1631" s="12">
        <v>1</v>
      </c>
      <c r="J1631" s="12">
        <v>0</v>
      </c>
      <c r="K1631" s="13" t="str">
        <f>HYPERLINK("http://twitter.com/download/android","Twitter for Android")</f>
        <v>Twitter for Android</v>
      </c>
      <c r="L1631" s="12">
        <v>3956</v>
      </c>
      <c r="M1631" s="12">
        <v>3892</v>
      </c>
      <c r="N1631" s="12">
        <v>14</v>
      </c>
      <c r="O1631" s="14"/>
      <c r="P1631" s="6">
        <v>42359.794803240744</v>
      </c>
      <c r="Q1631" s="11"/>
      <c r="R1631" s="17" t="s">
        <v>3445</v>
      </c>
      <c r="S1631" s="11"/>
      <c r="T1631" s="11"/>
      <c r="U1631" s="10" t="str">
        <f>HYPERLINK("https://pbs.twimg.com/profile_images/1030067801816530946/hR_kaHH1.jpg","View")</f>
        <v>View</v>
      </c>
    </row>
    <row r="1632" spans="1:21" ht="51">
      <c r="A1632" s="6">
        <v>43439.519293981481</v>
      </c>
      <c r="B1632" s="7" t="str">
        <f>HYPERLINK("https://twitter.com/querida_espana","@querida_espana")</f>
        <v>@querida_espana</v>
      </c>
      <c r="C1632" s="8" t="s">
        <v>5822</v>
      </c>
      <c r="D1632" s="9" t="s">
        <v>5823</v>
      </c>
      <c r="E1632" s="10" t="str">
        <f>HYPERLINK("https://twitter.com/querida_espana/status/1070278558247981056","1070278558247981056")</f>
        <v>1070278558247981056</v>
      </c>
      <c r="F1632" s="16" t="s">
        <v>5824</v>
      </c>
      <c r="G1632" s="16" t="s">
        <v>5825</v>
      </c>
      <c r="H1632" s="11"/>
      <c r="I1632" s="12">
        <v>2</v>
      </c>
      <c r="J1632" s="12">
        <v>3</v>
      </c>
      <c r="K1632" s="13" t="str">
        <f>HYPERLINK("http://twitter.com/download/iphone","Twitter for iPhone")</f>
        <v>Twitter for iPhone</v>
      </c>
      <c r="L1632" s="12">
        <v>2960</v>
      </c>
      <c r="M1632" s="12">
        <v>2761</v>
      </c>
      <c r="N1632" s="12">
        <v>2</v>
      </c>
      <c r="O1632" s="14"/>
      <c r="P1632" s="6">
        <v>43035.826724537037</v>
      </c>
      <c r="Q1632" s="15" t="s">
        <v>2875</v>
      </c>
      <c r="R1632" s="17" t="s">
        <v>5826</v>
      </c>
      <c r="S1632" s="11"/>
      <c r="T1632" s="11"/>
      <c r="U1632" s="10" t="str">
        <f>HYPERLINK("https://pbs.twimg.com/profile_images/1053409931959980032/IAUh3fP-.jpg","View")</f>
        <v>View</v>
      </c>
    </row>
    <row r="1633" spans="1:21" ht="30.6">
      <c r="A1633" s="6">
        <v>43439.518553240741</v>
      </c>
      <c r="B1633" s="7" t="str">
        <f>HYPERLINK("https://twitter.com/kodiario_","@kodiario_")</f>
        <v>@kodiario_</v>
      </c>
      <c r="C1633" s="8" t="s">
        <v>2401</v>
      </c>
      <c r="D1633" s="9" t="s">
        <v>5827</v>
      </c>
      <c r="E1633" s="10" t="str">
        <f>HYPERLINK("https://twitter.com/kodiario_/status/1070278287623159808","1070278287623159808")</f>
        <v>1070278287623159808</v>
      </c>
      <c r="F1633" s="16" t="s">
        <v>132</v>
      </c>
      <c r="G1633" s="11"/>
      <c r="H1633" s="11"/>
      <c r="I1633" s="12">
        <v>2</v>
      </c>
      <c r="J1633" s="12">
        <v>1</v>
      </c>
      <c r="K1633" s="13" t="str">
        <f>HYPERLINK("http://twitter.com/download/android","Twitter for Android")</f>
        <v>Twitter for Android</v>
      </c>
      <c r="L1633" s="12">
        <v>4619</v>
      </c>
      <c r="M1633" s="12">
        <v>332</v>
      </c>
      <c r="N1633" s="12">
        <v>57</v>
      </c>
      <c r="O1633" s="14"/>
      <c r="P1633" s="6">
        <v>42564.053425925929</v>
      </c>
      <c r="Q1633" s="11"/>
      <c r="R1633" s="17" t="s">
        <v>2404</v>
      </c>
      <c r="S1633" s="11"/>
      <c r="T1633" s="11"/>
      <c r="U1633" s="10" t="str">
        <f>HYPERLINK("https://pbs.twimg.com/profile_images/977352060571148288/z2lxbv4P.jpg","View")</f>
        <v>View</v>
      </c>
    </row>
    <row r="1634" spans="1:21" ht="51">
      <c r="A1634" s="6">
        <v>43439.517800925925</v>
      </c>
      <c r="B1634" s="7" t="str">
        <f>HYPERLINK("https://twitter.com/fede_duran","@fede_duran")</f>
        <v>@fede_duran</v>
      </c>
      <c r="C1634" s="8" t="s">
        <v>5828</v>
      </c>
      <c r="D1634" s="9" t="s">
        <v>5829</v>
      </c>
      <c r="E1634" s="10" t="str">
        <f>HYPERLINK("https://twitter.com/fede_duran/status/1070278015098081284","1070278015098081284")</f>
        <v>1070278015098081284</v>
      </c>
      <c r="F1634" s="11"/>
      <c r="G1634" s="11"/>
      <c r="H1634" s="11"/>
      <c r="I1634" s="12">
        <v>0</v>
      </c>
      <c r="J1634" s="12">
        <v>0</v>
      </c>
      <c r="K1634" s="13" t="str">
        <f t="shared" ref="K1634:K1635" si="372">HYPERLINK("http://twitter.com","Twitter Web Client")</f>
        <v>Twitter Web Client</v>
      </c>
      <c r="L1634" s="12">
        <v>1021</v>
      </c>
      <c r="M1634" s="12">
        <v>556</v>
      </c>
      <c r="N1634" s="12">
        <v>72</v>
      </c>
      <c r="O1634" s="14"/>
      <c r="P1634" s="6">
        <v>40484.419629629629</v>
      </c>
      <c r="Q1634" s="11"/>
      <c r="R1634" s="17" t="s">
        <v>5830</v>
      </c>
      <c r="S1634" s="16" t="s">
        <v>5831</v>
      </c>
      <c r="T1634" s="11"/>
      <c r="U1634" s="10" t="str">
        <f>HYPERLINK("https://pbs.twimg.com/profile_images/1001417875029151744/ScYp5wfd.jpg","View")</f>
        <v>View</v>
      </c>
    </row>
    <row r="1635" spans="1:21" ht="30.6">
      <c r="A1635" s="6">
        <v>43439.51761574074</v>
      </c>
      <c r="B1635" s="7" t="str">
        <f>HYPERLINK("https://twitter.com/jkarloss2","@jkarloss2")</f>
        <v>@jkarloss2</v>
      </c>
      <c r="C1635" s="8" t="s">
        <v>5832</v>
      </c>
      <c r="D1635" s="9" t="s">
        <v>5833</v>
      </c>
      <c r="E1635" s="10" t="str">
        <f>HYPERLINK("https://twitter.com/jkarloss2/status/1070277947377020928","1070277947377020928")</f>
        <v>1070277947377020928</v>
      </c>
      <c r="F1635" s="11"/>
      <c r="G1635" s="16" t="s">
        <v>5834</v>
      </c>
      <c r="H1635" s="11"/>
      <c r="I1635" s="12">
        <v>1</v>
      </c>
      <c r="J1635" s="12">
        <v>3</v>
      </c>
      <c r="K1635" s="13" t="str">
        <f t="shared" si="372"/>
        <v>Twitter Web Client</v>
      </c>
      <c r="L1635" s="12">
        <v>90</v>
      </c>
      <c r="M1635" s="12">
        <v>92</v>
      </c>
      <c r="N1635" s="12">
        <v>2</v>
      </c>
      <c r="O1635" s="14"/>
      <c r="P1635" s="6">
        <v>42951.781064814815</v>
      </c>
      <c r="Q1635" s="11"/>
      <c r="R1635" s="17" t="s">
        <v>5835</v>
      </c>
      <c r="S1635" s="11"/>
      <c r="T1635" s="11"/>
      <c r="U1635" s="10" t="str">
        <f>HYPERLINK("https://pbs.twimg.com/profile_images/899031170662510593/KRvicGiP.jpg","View")</f>
        <v>View</v>
      </c>
    </row>
    <row r="1636" spans="1:21" ht="61.2">
      <c r="A1636" s="6">
        <v>43439.517500000002</v>
      </c>
      <c r="B1636" s="7" t="str">
        <f>HYPERLINK("https://twitter.com/ximoilicitano14","@ximoilicitano14")</f>
        <v>@ximoilicitano14</v>
      </c>
      <c r="C1636" s="8" t="s">
        <v>1914</v>
      </c>
      <c r="D1636" s="9" t="s">
        <v>5836</v>
      </c>
      <c r="E1636" s="10" t="str">
        <f>HYPERLINK("https://twitter.com/ximoilicitano14/status/1070277908307025920","1070277908307025920")</f>
        <v>1070277908307025920</v>
      </c>
      <c r="F1636" s="11"/>
      <c r="G1636" s="16" t="s">
        <v>5837</v>
      </c>
      <c r="H1636" s="11"/>
      <c r="I1636" s="12">
        <v>0</v>
      </c>
      <c r="J1636" s="12">
        <v>0</v>
      </c>
      <c r="K1636" s="13" t="str">
        <f t="shared" ref="K1636:K1637" si="373">HYPERLINK("http://twitter.com/download/android","Twitter for Android")</f>
        <v>Twitter for Android</v>
      </c>
      <c r="L1636" s="12">
        <v>811</v>
      </c>
      <c r="M1636" s="12">
        <v>1053</v>
      </c>
      <c r="N1636" s="12">
        <v>8</v>
      </c>
      <c r="O1636" s="14"/>
      <c r="P1636" s="6">
        <v>41955.035405092596</v>
      </c>
      <c r="Q1636" s="11"/>
      <c r="R1636" s="17" t="s">
        <v>1917</v>
      </c>
      <c r="S1636" s="16" t="s">
        <v>1918</v>
      </c>
      <c r="T1636" s="11"/>
      <c r="U1636" s="10" t="str">
        <f>HYPERLINK("https://pbs.twimg.com/profile_images/1025622799283630080/BeM9PIam.jpg","View")</f>
        <v>View</v>
      </c>
    </row>
    <row r="1637" spans="1:21" ht="30.6">
      <c r="A1637" s="6">
        <v>43439.517500000002</v>
      </c>
      <c r="B1637" s="7" t="str">
        <f>HYPERLINK("https://twitter.com/kodiario_","@kodiario_")</f>
        <v>@kodiario_</v>
      </c>
      <c r="C1637" s="8" t="s">
        <v>2401</v>
      </c>
      <c r="D1637" s="9" t="s">
        <v>5838</v>
      </c>
      <c r="E1637" s="10" t="str">
        <f>HYPERLINK("https://twitter.com/kodiario_/status/1070277906050494464","1070277906050494464")</f>
        <v>1070277906050494464</v>
      </c>
      <c r="F1637" s="11"/>
      <c r="G1637" s="16" t="s">
        <v>5839</v>
      </c>
      <c r="H1637" s="11"/>
      <c r="I1637" s="12">
        <v>2</v>
      </c>
      <c r="J1637" s="12">
        <v>2</v>
      </c>
      <c r="K1637" s="13" t="str">
        <f t="shared" si="373"/>
        <v>Twitter for Android</v>
      </c>
      <c r="L1637" s="12">
        <v>4619</v>
      </c>
      <c r="M1637" s="12">
        <v>332</v>
      </c>
      <c r="N1637" s="12">
        <v>57</v>
      </c>
      <c r="O1637" s="14"/>
      <c r="P1637" s="6">
        <v>42564.053425925929</v>
      </c>
      <c r="Q1637" s="11"/>
      <c r="R1637" s="17" t="s">
        <v>2404</v>
      </c>
      <c r="S1637" s="11"/>
      <c r="T1637" s="11"/>
      <c r="U1637" s="10" t="str">
        <f>HYPERLINK("https://pbs.twimg.com/profile_images/977352060571148288/z2lxbv4P.jpg","View")</f>
        <v>View</v>
      </c>
    </row>
    <row r="1638" spans="1:21" ht="30.6">
      <c r="A1638" s="6">
        <v>43439.515648148154</v>
      </c>
      <c r="B1638" s="7" t="str">
        <f>HYPERLINK("https://twitter.com/Oihane0717","@Oihane0717")</f>
        <v>@Oihane0717</v>
      </c>
      <c r="C1638" s="8" t="s">
        <v>5840</v>
      </c>
      <c r="D1638" s="9" t="s">
        <v>5841</v>
      </c>
      <c r="E1638" s="10" t="str">
        <f>HYPERLINK("https://twitter.com/Oihane0717/status/1070277237876948992","1070277237876948992")</f>
        <v>1070277237876948992</v>
      </c>
      <c r="F1638" s="11"/>
      <c r="G1638" s="11"/>
      <c r="H1638" s="11"/>
      <c r="I1638" s="12">
        <v>0</v>
      </c>
      <c r="J1638" s="12">
        <v>0</v>
      </c>
      <c r="K1638" s="13" t="str">
        <f>HYPERLINK("https://mobile.twitter.com","Twitter Lite")</f>
        <v>Twitter Lite</v>
      </c>
      <c r="L1638" s="12">
        <v>380</v>
      </c>
      <c r="M1638" s="12">
        <v>499</v>
      </c>
      <c r="N1638" s="12">
        <v>40</v>
      </c>
      <c r="O1638" s="14"/>
      <c r="P1638" s="6">
        <v>40835.536296296297</v>
      </c>
      <c r="Q1638" s="15" t="s">
        <v>712</v>
      </c>
      <c r="R1638" s="17" t="s">
        <v>5842</v>
      </c>
      <c r="S1638" s="11"/>
      <c r="T1638" s="11"/>
      <c r="U1638" s="10" t="str">
        <f>HYPERLINK("https://pbs.twimg.com/profile_images/880153939630579714/CN64Q8Zs.jpg","View")</f>
        <v>View</v>
      </c>
    </row>
    <row r="1639" spans="1:21" ht="30.6">
      <c r="A1639" s="6">
        <v>43439.515034722222</v>
      </c>
      <c r="B1639" s="7" t="str">
        <f>HYPERLINK("https://twitter.com/sueldospublicos","@sueldospublicos")</f>
        <v>@sueldospublicos</v>
      </c>
      <c r="C1639" s="8" t="s">
        <v>4821</v>
      </c>
      <c r="D1639" s="9" t="s">
        <v>5843</v>
      </c>
      <c r="E1639" s="10" t="str">
        <f>HYPERLINK("https://twitter.com/sueldospublicos/status/1070277014299529217","1070277014299529217")</f>
        <v>1070277014299529217</v>
      </c>
      <c r="F1639" s="16" t="s">
        <v>4823</v>
      </c>
      <c r="G1639" s="16" t="s">
        <v>5844</v>
      </c>
      <c r="H1639" s="11"/>
      <c r="I1639" s="12">
        <v>1</v>
      </c>
      <c r="J1639" s="12">
        <v>0</v>
      </c>
      <c r="K1639" s="13" t="str">
        <f>HYPERLINK("https://www.hootsuite.com","Hootsuite Inc.")</f>
        <v>Hootsuite Inc.</v>
      </c>
      <c r="L1639" s="12">
        <v>36049</v>
      </c>
      <c r="M1639" s="12">
        <v>1482</v>
      </c>
      <c r="N1639" s="12">
        <v>856</v>
      </c>
      <c r="O1639" s="14"/>
      <c r="P1639" s="6">
        <v>40852.512743055559</v>
      </c>
      <c r="Q1639" s="15" t="s">
        <v>197</v>
      </c>
      <c r="R1639" s="17" t="s">
        <v>4825</v>
      </c>
      <c r="S1639" s="16" t="s">
        <v>4826</v>
      </c>
      <c r="T1639" s="11"/>
      <c r="U1639" s="10" t="str">
        <f>HYPERLINK("https://pbs.twimg.com/profile_images/2164564510/twitter_logo.jpg","View")</f>
        <v>View</v>
      </c>
    </row>
    <row r="1640" spans="1:21" ht="51">
      <c r="A1640" s="6">
        <v>43439.513715277775</v>
      </c>
      <c r="B1640" s="7" t="str">
        <f>HYPERLINK("https://twitter.com/Roberto46203207","@Roberto46203207")</f>
        <v>@Roberto46203207</v>
      </c>
      <c r="C1640" s="8" t="s">
        <v>5845</v>
      </c>
      <c r="D1640" s="9" t="s">
        <v>5846</v>
      </c>
      <c r="E1640" s="10" t="str">
        <f>HYPERLINK("https://twitter.com/Roberto46203207/status/1070276534571843585","1070276534571843585")</f>
        <v>1070276534571843585</v>
      </c>
      <c r="F1640" s="11"/>
      <c r="G1640" s="11"/>
      <c r="H1640" s="11"/>
      <c r="I1640" s="12">
        <v>0</v>
      </c>
      <c r="J1640" s="12">
        <v>0</v>
      </c>
      <c r="K1640" s="13" t="str">
        <f t="shared" ref="K1640:K1641" si="374">HYPERLINK("https://mobile.twitter.com","Twitter Lite")</f>
        <v>Twitter Lite</v>
      </c>
      <c r="L1640" s="12">
        <v>34</v>
      </c>
      <c r="M1640" s="12">
        <v>212</v>
      </c>
      <c r="N1640" s="12">
        <v>0</v>
      </c>
      <c r="O1640" s="14"/>
      <c r="P1640" s="6">
        <v>41130.979108796295</v>
      </c>
      <c r="Q1640" s="15" t="s">
        <v>5847</v>
      </c>
      <c r="R1640" s="18"/>
      <c r="S1640" s="11"/>
      <c r="T1640" s="11"/>
      <c r="U1640" s="10" t="str">
        <f>HYPERLINK("https://pbs.twimg.com/profile_images/1040620931520122880/7-gk2ZHe.jpg","View")</f>
        <v>View</v>
      </c>
    </row>
    <row r="1641" spans="1:21" ht="91.8">
      <c r="A1641" s="6">
        <v>43439.513425925921</v>
      </c>
      <c r="B1641" s="7" t="str">
        <f>HYPERLINK("https://twitter.com/sepaesbi","@sepaesbi")</f>
        <v>@sepaesbi</v>
      </c>
      <c r="C1641" s="8" t="s">
        <v>5848</v>
      </c>
      <c r="D1641" s="9" t="s">
        <v>5849</v>
      </c>
      <c r="E1641" s="10" t="str">
        <f>HYPERLINK("https://twitter.com/sepaesbi/status/1070276432562188288","1070276432562188288")</f>
        <v>1070276432562188288</v>
      </c>
      <c r="F1641" s="16" t="s">
        <v>5850</v>
      </c>
      <c r="G1641" s="11"/>
      <c r="H1641" s="11"/>
      <c r="I1641" s="12">
        <v>1</v>
      </c>
      <c r="J1641" s="12">
        <v>1</v>
      </c>
      <c r="K1641" s="13" t="str">
        <f t="shared" si="374"/>
        <v>Twitter Lite</v>
      </c>
      <c r="L1641" s="12">
        <v>69</v>
      </c>
      <c r="M1641" s="12">
        <v>278</v>
      </c>
      <c r="N1641" s="12">
        <v>1</v>
      </c>
      <c r="O1641" s="14"/>
      <c r="P1641" s="6">
        <v>41724.721539351856</v>
      </c>
      <c r="Q1641" s="11"/>
      <c r="R1641" s="18"/>
      <c r="S1641" s="11"/>
      <c r="T1641" s="11"/>
      <c r="U1641" s="23" t="s">
        <v>437</v>
      </c>
    </row>
    <row r="1642" spans="1:21" ht="71.400000000000006">
      <c r="A1642" s="6">
        <v>43439.511793981481</v>
      </c>
      <c r="B1642" s="7" t="str">
        <f>HYPERLINK("https://twitter.com/DagdaMor23","@DagdaMor23")</f>
        <v>@DagdaMor23</v>
      </c>
      <c r="C1642" s="8" t="s">
        <v>5851</v>
      </c>
      <c r="D1642" s="9" t="s">
        <v>5852</v>
      </c>
      <c r="E1642" s="10" t="str">
        <f>HYPERLINK("https://twitter.com/DagdaMor23/status/1070275838736785408","1070275838736785408")</f>
        <v>1070275838736785408</v>
      </c>
      <c r="F1642" s="15" t="s">
        <v>5853</v>
      </c>
      <c r="G1642" s="11"/>
      <c r="H1642" s="11"/>
      <c r="I1642" s="12">
        <v>0</v>
      </c>
      <c r="J1642" s="12">
        <v>1</v>
      </c>
      <c r="K1642" s="13" t="str">
        <f>HYPERLINK("http://twitter.com/download/android","Twitter for Android")</f>
        <v>Twitter for Android</v>
      </c>
      <c r="L1642" s="12">
        <v>4</v>
      </c>
      <c r="M1642" s="12">
        <v>23</v>
      </c>
      <c r="N1642" s="12">
        <v>0</v>
      </c>
      <c r="O1642" s="14"/>
      <c r="P1642" s="6">
        <v>43384.651261574079</v>
      </c>
      <c r="Q1642" s="15" t="s">
        <v>5854</v>
      </c>
      <c r="R1642" s="17" t="s">
        <v>5855</v>
      </c>
      <c r="S1642" s="11"/>
      <c r="T1642" s="11"/>
      <c r="U1642" s="10" t="str">
        <f>HYPERLINK("https://pbs.twimg.com/profile_images/1064869136029880321/_YtcFr7I.jpg","View")</f>
        <v>View</v>
      </c>
    </row>
    <row r="1643" spans="1:21" ht="30.6">
      <c r="A1643" s="6">
        <v>43439.511030092588</v>
      </c>
      <c r="B1643" s="7" t="str">
        <f>HYPERLINK("https://twitter.com/enjakeETB","@enjakeETB")</f>
        <v>@enjakeETB</v>
      </c>
      <c r="C1643" s="8" t="s">
        <v>5799</v>
      </c>
      <c r="D1643" s="9" t="s">
        <v>5856</v>
      </c>
      <c r="E1643" s="10" t="str">
        <f>HYPERLINK("https://twitter.com/enjakeETB/status/1070275562290204672","1070275562290204672")</f>
        <v>1070275562290204672</v>
      </c>
      <c r="F1643" s="16" t="s">
        <v>5801</v>
      </c>
      <c r="G1643" s="16" t="s">
        <v>5857</v>
      </c>
      <c r="H1643" s="11"/>
      <c r="I1643" s="12">
        <v>2</v>
      </c>
      <c r="J1643" s="12">
        <v>2</v>
      </c>
      <c r="K1643" s="13" t="str">
        <f>HYPERLINK("https://about.twitter.com/products/tweetdeck","TweetDeck")</f>
        <v>TweetDeck</v>
      </c>
      <c r="L1643" s="12">
        <v>4212</v>
      </c>
      <c r="M1643" s="12">
        <v>241</v>
      </c>
      <c r="N1643" s="12">
        <v>54</v>
      </c>
      <c r="O1643" s="14"/>
      <c r="P1643" s="6">
        <v>40206.661689814813</v>
      </c>
      <c r="Q1643" s="15" t="s">
        <v>1202</v>
      </c>
      <c r="R1643" s="17" t="s">
        <v>5803</v>
      </c>
      <c r="S1643" s="16" t="s">
        <v>5804</v>
      </c>
      <c r="T1643" s="11"/>
      <c r="U1643" s="10" t="str">
        <f>HYPERLINK("https://pbs.twimg.com/profile_images/1034371688136421376/rRWCNSOY.jpg","View")</f>
        <v>View</v>
      </c>
    </row>
    <row r="1644" spans="1:21" ht="30.6">
      <c r="A1644" s="6">
        <v>43439.509988425925</v>
      </c>
      <c r="B1644" s="7" t="str">
        <f>HYPERLINK("https://twitter.com/ElCanarioOptimi","@ElCanarioOptimi")</f>
        <v>@ElCanarioOptimi</v>
      </c>
      <c r="C1644" s="8" t="s">
        <v>5858</v>
      </c>
      <c r="D1644" s="9" t="s">
        <v>5859</v>
      </c>
      <c r="E1644" s="10" t="str">
        <f>HYPERLINK("https://twitter.com/ElCanarioOptimi/status/1070275185453031424","1070275185453031424")</f>
        <v>1070275185453031424</v>
      </c>
      <c r="F1644" s="11"/>
      <c r="G1644" s="11"/>
      <c r="H1644" s="11"/>
      <c r="I1644" s="12">
        <v>0</v>
      </c>
      <c r="J1644" s="12">
        <v>2</v>
      </c>
      <c r="K1644" s="13" t="str">
        <f>HYPERLINK("http://twitter.com","Twitter Web Client")</f>
        <v>Twitter Web Client</v>
      </c>
      <c r="L1644" s="12">
        <v>1686</v>
      </c>
      <c r="M1644" s="12">
        <v>597</v>
      </c>
      <c r="N1644" s="12">
        <v>28</v>
      </c>
      <c r="O1644" s="14"/>
      <c r="P1644" s="6">
        <v>41192.528993055559</v>
      </c>
      <c r="Q1644" s="15" t="s">
        <v>5860</v>
      </c>
      <c r="R1644" s="17" t="s">
        <v>5861</v>
      </c>
      <c r="S1644" s="11"/>
      <c r="T1644" s="11"/>
      <c r="U1644" s="10" t="str">
        <f>HYPERLINK("https://pbs.twimg.com/profile_images/1037774474131718144/HKwLxfHy.jpg","View")</f>
        <v>View</v>
      </c>
    </row>
    <row r="1645" spans="1:21" ht="30.6">
      <c r="A1645" s="6">
        <v>43439.509664351848</v>
      </c>
      <c r="B1645" s="7" t="str">
        <f>HYPERLINK("https://twitter.com/RamonDiazGlez18","@RamonDiazGlez18")</f>
        <v>@RamonDiazGlez18</v>
      </c>
      <c r="C1645" s="8" t="s">
        <v>5862</v>
      </c>
      <c r="D1645" s="9" t="s">
        <v>5863</v>
      </c>
      <c r="E1645" s="10" t="str">
        <f>HYPERLINK("https://twitter.com/RamonDiazGlez18/status/1070275067983085568","1070275067983085568")</f>
        <v>1070275067983085568</v>
      </c>
      <c r="F1645" s="11"/>
      <c r="G1645" s="11"/>
      <c r="H1645" s="11"/>
      <c r="I1645" s="12">
        <v>0</v>
      </c>
      <c r="J1645" s="12">
        <v>2</v>
      </c>
      <c r="K1645" s="13" t="str">
        <f>HYPERLINK("http://twitter.com/download/iphone","Twitter for iPhone")</f>
        <v>Twitter for iPhone</v>
      </c>
      <c r="L1645" s="12">
        <v>84</v>
      </c>
      <c r="M1645" s="12">
        <v>856</v>
      </c>
      <c r="N1645" s="12">
        <v>0</v>
      </c>
      <c r="O1645" s="14"/>
      <c r="P1645" s="6">
        <v>43199.609629629631</v>
      </c>
      <c r="Q1645" s="15" t="s">
        <v>3526</v>
      </c>
      <c r="R1645" s="17" t="s">
        <v>5864</v>
      </c>
      <c r="S1645" s="11"/>
      <c r="T1645" s="11"/>
      <c r="U1645" s="10" t="str">
        <f>HYPERLINK("https://pbs.twimg.com/profile_images/999928245804941313/a9mM3D2d.jpg","View")</f>
        <v>View</v>
      </c>
    </row>
    <row r="1646" spans="1:21" ht="20.399999999999999">
      <c r="A1646" s="6">
        <v>43439.509467592594</v>
      </c>
      <c r="B1646" s="7" t="str">
        <f>HYPERLINK("https://twitter.com/Pecuniario1","@Pecuniario1")</f>
        <v>@Pecuniario1</v>
      </c>
      <c r="C1646" s="8" t="s">
        <v>5865</v>
      </c>
      <c r="D1646" s="9" t="s">
        <v>5866</v>
      </c>
      <c r="E1646" s="10" t="str">
        <f>HYPERLINK("https://twitter.com/Pecuniario1/status/1070274997090963456","1070274997090963456")</f>
        <v>1070274997090963456</v>
      </c>
      <c r="F1646" s="11"/>
      <c r="G1646" s="11"/>
      <c r="H1646" s="11"/>
      <c r="I1646" s="12">
        <v>0</v>
      </c>
      <c r="J1646" s="12">
        <v>0</v>
      </c>
      <c r="K1646" s="13" t="str">
        <f t="shared" ref="K1646:K1647" si="375">HYPERLINK("http://twitter.com/download/android","Twitter for Android")</f>
        <v>Twitter for Android</v>
      </c>
      <c r="L1646" s="12">
        <v>22</v>
      </c>
      <c r="M1646" s="12">
        <v>148</v>
      </c>
      <c r="N1646" s="12">
        <v>0</v>
      </c>
      <c r="O1646" s="14"/>
      <c r="P1646" s="6">
        <v>43256.383206018523</v>
      </c>
      <c r="Q1646" s="15" t="s">
        <v>5867</v>
      </c>
      <c r="R1646" s="17" t="s">
        <v>5868</v>
      </c>
      <c r="S1646" s="11"/>
      <c r="T1646" s="11"/>
      <c r="U1646" s="10" t="str">
        <f>HYPERLINK("https://pbs.twimg.com/profile_images/1006941229274271745/Q1vH-_pd.jpg","View")</f>
        <v>View</v>
      </c>
    </row>
    <row r="1647" spans="1:21" ht="71.400000000000006">
      <c r="A1647" s="6">
        <v>43439.508981481486</v>
      </c>
      <c r="B1647" s="7" t="str">
        <f>HYPERLINK("https://twitter.com/JBGarridoF1","@JBGarridoF1")</f>
        <v>@JBGarridoF1</v>
      </c>
      <c r="C1647" s="8" t="s">
        <v>5869</v>
      </c>
      <c r="D1647" s="9" t="s">
        <v>5870</v>
      </c>
      <c r="E1647" s="10" t="str">
        <f>HYPERLINK("https://twitter.com/JBGarridoF1/status/1070274820473008128","1070274820473008128")</f>
        <v>1070274820473008128</v>
      </c>
      <c r="F1647" s="15" t="s">
        <v>5871</v>
      </c>
      <c r="G1647" s="11"/>
      <c r="H1647" s="11"/>
      <c r="I1647" s="12">
        <v>0</v>
      </c>
      <c r="J1647" s="12">
        <v>0</v>
      </c>
      <c r="K1647" s="13" t="str">
        <f t="shared" si="375"/>
        <v>Twitter for Android</v>
      </c>
      <c r="L1647" s="12">
        <v>528</v>
      </c>
      <c r="M1647" s="12">
        <v>1008</v>
      </c>
      <c r="N1647" s="12">
        <v>37</v>
      </c>
      <c r="O1647" s="14"/>
      <c r="P1647" s="6">
        <v>40942.896006944444</v>
      </c>
      <c r="Q1647" s="15" t="s">
        <v>5872</v>
      </c>
      <c r="R1647" s="17" t="s">
        <v>5873</v>
      </c>
      <c r="S1647" s="11"/>
      <c r="T1647" s="11"/>
      <c r="U1647" s="10" t="str">
        <f>HYPERLINK("https://pbs.twimg.com/profile_images/1010142266529378304/6-M8qYgz.jpg","View")</f>
        <v>View</v>
      </c>
    </row>
    <row r="1648" spans="1:21" ht="40.799999999999997">
      <c r="A1648" s="6">
        <v>43439.508344907408</v>
      </c>
      <c r="B1648" s="7" t="str">
        <f>HYPERLINK("https://twitter.com/Jfdezgo90","@Jfdezgo90")</f>
        <v>@Jfdezgo90</v>
      </c>
      <c r="C1648" s="8" t="s">
        <v>2651</v>
      </c>
      <c r="D1648" s="9" t="s">
        <v>5874</v>
      </c>
      <c r="E1648" s="10" t="str">
        <f>HYPERLINK("https://twitter.com/Jfdezgo90/status/1070274590184800256","1070274590184800256")</f>
        <v>1070274590184800256</v>
      </c>
      <c r="F1648" s="11"/>
      <c r="G1648" s="11"/>
      <c r="H1648" s="11"/>
      <c r="I1648" s="12">
        <v>0</v>
      </c>
      <c r="J1648" s="12">
        <v>0</v>
      </c>
      <c r="K1648" s="13" t="str">
        <f t="shared" ref="K1648:K1649" si="376">HYPERLINK("http://twitter.com/download/iphone","Twitter for iPhone")</f>
        <v>Twitter for iPhone</v>
      </c>
      <c r="L1648" s="12">
        <v>1912</v>
      </c>
      <c r="M1648" s="12">
        <v>4144</v>
      </c>
      <c r="N1648" s="12">
        <v>13</v>
      </c>
      <c r="O1648" s="14"/>
      <c r="P1648" s="6">
        <v>41800.661921296298</v>
      </c>
      <c r="Q1648" s="15" t="s">
        <v>2654</v>
      </c>
      <c r="R1648" s="17" t="s">
        <v>2655</v>
      </c>
      <c r="S1648" s="16" t="s">
        <v>2656</v>
      </c>
      <c r="T1648" s="11"/>
      <c r="U1648" s="10" t="str">
        <f>HYPERLINK("https://pbs.twimg.com/profile_images/1013847005817442306/8BV0q5Ut.jpg","View")</f>
        <v>View</v>
      </c>
    </row>
    <row r="1649" spans="1:21" ht="40.799999999999997">
      <c r="A1649" s="6">
        <v>43439.507048611107</v>
      </c>
      <c r="B1649" s="7" t="str">
        <f>HYPERLINK("https://twitter.com/AManzanoUriz","@AManzanoUriz")</f>
        <v>@AManzanoUriz</v>
      </c>
      <c r="C1649" s="8" t="s">
        <v>5875</v>
      </c>
      <c r="D1649" s="9" t="s">
        <v>5876</v>
      </c>
      <c r="E1649" s="10" t="str">
        <f>HYPERLINK("https://twitter.com/AManzanoUriz/status/1070274120775020544","1070274120775020544")</f>
        <v>1070274120775020544</v>
      </c>
      <c r="F1649" s="16" t="s">
        <v>5755</v>
      </c>
      <c r="G1649" s="11"/>
      <c r="H1649" s="11"/>
      <c r="I1649" s="12">
        <v>3</v>
      </c>
      <c r="J1649" s="12">
        <v>4</v>
      </c>
      <c r="K1649" s="13" t="str">
        <f t="shared" si="376"/>
        <v>Twitter for iPhone</v>
      </c>
      <c r="L1649" s="12">
        <v>3607</v>
      </c>
      <c r="M1649" s="12">
        <v>2212</v>
      </c>
      <c r="N1649" s="12">
        <v>25</v>
      </c>
      <c r="O1649" s="14"/>
      <c r="P1649" s="6">
        <v>40452.717974537038</v>
      </c>
      <c r="Q1649" s="15" t="s">
        <v>5877</v>
      </c>
      <c r="R1649" s="17" t="s">
        <v>5878</v>
      </c>
      <c r="S1649" s="16" t="s">
        <v>5879</v>
      </c>
      <c r="T1649" s="11"/>
      <c r="U1649" s="10" t="str">
        <f>HYPERLINK("https://pbs.twimg.com/profile_images/826119724845121538/jMdXeAiP.jpg","View")</f>
        <v>View</v>
      </c>
    </row>
    <row r="1650" spans="1:21" ht="51">
      <c r="A1650" s="6">
        <v>43439.506365740745</v>
      </c>
      <c r="B1650" s="7" t="str">
        <f>HYPERLINK("https://twitter.com/L0nelyW0lf70","@L0nelyW0lf70")</f>
        <v>@L0nelyW0lf70</v>
      </c>
      <c r="C1650" s="27" t="s">
        <v>1665</v>
      </c>
      <c r="D1650" s="9" t="s">
        <v>5880</v>
      </c>
      <c r="E1650" s="10" t="str">
        <f>HYPERLINK("https://twitter.com/L0nelyW0lf70/status/1070273870538661889","1070273870538661889")</f>
        <v>1070273870538661889</v>
      </c>
      <c r="F1650" s="15" t="s">
        <v>5881</v>
      </c>
      <c r="G1650" s="11"/>
      <c r="H1650" s="11"/>
      <c r="I1650" s="12">
        <v>4</v>
      </c>
      <c r="J1650" s="12">
        <v>5</v>
      </c>
      <c r="K1650" s="13" t="str">
        <f>HYPERLINK("http://twitter.com","Twitter Web Client")</f>
        <v>Twitter Web Client</v>
      </c>
      <c r="L1650" s="12">
        <v>622</v>
      </c>
      <c r="M1650" s="12">
        <v>849</v>
      </c>
      <c r="N1650" s="12">
        <v>2</v>
      </c>
      <c r="O1650" s="14"/>
      <c r="P1650" s="6">
        <v>43335.887094907404</v>
      </c>
      <c r="Q1650" s="15" t="s">
        <v>1669</v>
      </c>
      <c r="R1650" s="17" t="s">
        <v>1670</v>
      </c>
      <c r="S1650" s="11"/>
      <c r="T1650" s="11"/>
      <c r="U1650" s="10" t="str">
        <f>HYPERLINK("https://pbs.twimg.com/profile_images/1070321731607388160/YlBHEYkq.jpg","View")</f>
        <v>View</v>
      </c>
    </row>
    <row r="1651" spans="1:21" ht="51">
      <c r="A1651" s="6">
        <v>43439.505555555559</v>
      </c>
      <c r="B1651" s="7" t="str">
        <f>HYPERLINK("https://twitter.com/unespanol1","@unespanol1")</f>
        <v>@unespanol1</v>
      </c>
      <c r="C1651" s="8" t="s">
        <v>5882</v>
      </c>
      <c r="D1651" s="9" t="s">
        <v>5883</v>
      </c>
      <c r="E1651" s="10" t="str">
        <f>HYPERLINK("https://twitter.com/unespanol1/status/1070273579181330432","1070273579181330432")</f>
        <v>1070273579181330432</v>
      </c>
      <c r="F1651" s="16" t="s">
        <v>5884</v>
      </c>
      <c r="G1651" s="11"/>
      <c r="H1651" s="11"/>
      <c r="I1651" s="12">
        <v>0</v>
      </c>
      <c r="J1651" s="12">
        <v>0</v>
      </c>
      <c r="K1651" s="13" t="str">
        <f>HYPERLINK("http://twitter.com/download/android","Twitter for Android")</f>
        <v>Twitter for Android</v>
      </c>
      <c r="L1651" s="12">
        <v>632</v>
      </c>
      <c r="M1651" s="12">
        <v>486</v>
      </c>
      <c r="N1651" s="12">
        <v>1</v>
      </c>
      <c r="O1651" s="14"/>
      <c r="P1651" s="6">
        <v>43011.494675925926</v>
      </c>
      <c r="Q1651" s="15" t="s">
        <v>197</v>
      </c>
      <c r="R1651" s="17" t="s">
        <v>5885</v>
      </c>
      <c r="S1651" s="11"/>
      <c r="T1651" s="11"/>
      <c r="U1651" s="10" t="str">
        <f>HYPERLINK("https://pbs.twimg.com/profile_images/915165401855688704/T5-f2K90.jpg","View")</f>
        <v>View</v>
      </c>
    </row>
    <row r="1652" spans="1:21" ht="51">
      <c r="A1652" s="6">
        <v>43439.501388888893</v>
      </c>
      <c r="B1652" s="7" t="str">
        <f t="shared" ref="B1652:B1653" si="377">HYPERLINK("https://twitter.com/bitMomentum","@bitMomentum")</f>
        <v>@bitMomentum</v>
      </c>
      <c r="C1652" s="8" t="s">
        <v>82</v>
      </c>
      <c r="D1652" s="9" t="s">
        <v>5886</v>
      </c>
      <c r="E1652" s="10" t="str">
        <f>HYPERLINK("https://twitter.com/bitMomentum/status/1070272067092791297","1070272067092791297")</f>
        <v>1070272067092791297</v>
      </c>
      <c r="F1652" s="11"/>
      <c r="G1652" s="11"/>
      <c r="H1652" s="11"/>
      <c r="I1652" s="12">
        <v>0</v>
      </c>
      <c r="J1652" s="12">
        <v>0</v>
      </c>
      <c r="K1652" s="13" t="str">
        <f t="shared" ref="K1652:K1653" si="378">HYPERLINK("http://www.bitmomentum.com","bitMomentum Bot")</f>
        <v>bitMomentum Bot</v>
      </c>
      <c r="L1652" s="12">
        <v>10253</v>
      </c>
      <c r="M1652" s="12">
        <v>1059</v>
      </c>
      <c r="N1652" s="12">
        <v>263</v>
      </c>
      <c r="O1652" s="14"/>
      <c r="P1652" s="6">
        <v>41608.667511574073</v>
      </c>
      <c r="Q1652" s="11"/>
      <c r="R1652" s="17" t="s">
        <v>84</v>
      </c>
      <c r="S1652" s="16" t="s">
        <v>85</v>
      </c>
      <c r="T1652" s="11"/>
      <c r="U1652" s="10" t="str">
        <f t="shared" ref="U1652:U1653" si="379">HYPERLINK("https://pbs.twimg.com/profile_images/378800000862185241/20ij2H3u.png","View")</f>
        <v>View</v>
      </c>
    </row>
    <row r="1653" spans="1:21" ht="51">
      <c r="A1653" s="6">
        <v>43439.500694444447</v>
      </c>
      <c r="B1653" s="7" t="str">
        <f t="shared" si="377"/>
        <v>@bitMomentum</v>
      </c>
      <c r="C1653" s="8" t="s">
        <v>82</v>
      </c>
      <c r="D1653" s="9" t="s">
        <v>5887</v>
      </c>
      <c r="E1653" s="10" t="str">
        <f>HYPERLINK("https://twitter.com/bitMomentum/status/1070271815593967616","1070271815593967616")</f>
        <v>1070271815593967616</v>
      </c>
      <c r="F1653" s="11"/>
      <c r="G1653" s="11"/>
      <c r="H1653" s="11"/>
      <c r="I1653" s="12">
        <v>1</v>
      </c>
      <c r="J1653" s="12">
        <v>0</v>
      </c>
      <c r="K1653" s="13" t="str">
        <f t="shared" si="378"/>
        <v>bitMomentum Bot</v>
      </c>
      <c r="L1653" s="12">
        <v>10253</v>
      </c>
      <c r="M1653" s="12">
        <v>1059</v>
      </c>
      <c r="N1653" s="12">
        <v>263</v>
      </c>
      <c r="O1653" s="14"/>
      <c r="P1653" s="6">
        <v>41608.667511574073</v>
      </c>
      <c r="Q1653" s="11"/>
      <c r="R1653" s="17" t="s">
        <v>84</v>
      </c>
      <c r="S1653" s="16" t="s">
        <v>85</v>
      </c>
      <c r="T1653" s="11"/>
      <c r="U1653" s="10" t="str">
        <f t="shared" si="379"/>
        <v>View</v>
      </c>
    </row>
    <row r="1654" spans="1:21" ht="51">
      <c r="A1654" s="6">
        <v>43439.497893518521</v>
      </c>
      <c r="B1654" s="7" t="str">
        <f>HYPERLINK("https://twitter.com/Loliaguilar8","@Loliaguilar8")</f>
        <v>@Loliaguilar8</v>
      </c>
      <c r="C1654" s="8" t="s">
        <v>5888</v>
      </c>
      <c r="D1654" s="9" t="s">
        <v>5889</v>
      </c>
      <c r="E1654" s="10" t="str">
        <f>HYPERLINK("https://twitter.com/Loliaguilar8/status/1070270799918104576","1070270799918104576")</f>
        <v>1070270799918104576</v>
      </c>
      <c r="F1654" s="16" t="s">
        <v>5890</v>
      </c>
      <c r="G1654" s="16" t="s">
        <v>5891</v>
      </c>
      <c r="H1654" s="11"/>
      <c r="I1654" s="12">
        <v>3</v>
      </c>
      <c r="J1654" s="12">
        <v>5</v>
      </c>
      <c r="K1654" s="13" t="str">
        <f>HYPERLINK("https://mobile.twitter.com","Twitter Lite")</f>
        <v>Twitter Lite</v>
      </c>
      <c r="L1654" s="12">
        <v>681</v>
      </c>
      <c r="M1654" s="12">
        <v>476</v>
      </c>
      <c r="N1654" s="12">
        <v>3</v>
      </c>
      <c r="O1654" s="14"/>
      <c r="P1654" s="6">
        <v>42976.571087962962</v>
      </c>
      <c r="Q1654" s="15" t="s">
        <v>197</v>
      </c>
      <c r="R1654" s="18"/>
      <c r="S1654" s="11"/>
      <c r="T1654" s="11"/>
      <c r="U1654" s="10" t="str">
        <f>HYPERLINK("https://pbs.twimg.com/profile_images/1007660102101368832/dmR4DBG_.jpg","View")</f>
        <v>View</v>
      </c>
    </row>
    <row r="1655" spans="1:21" ht="71.400000000000006">
      <c r="A1655" s="6">
        <v>43439.496979166666</v>
      </c>
      <c r="B1655" s="7" t="str">
        <f>HYPERLINK("https://twitter.com/CGdPedraza","@CGdPedraza")</f>
        <v>@CGdPedraza</v>
      </c>
      <c r="C1655" s="8" t="s">
        <v>5892</v>
      </c>
      <c r="D1655" s="9" t="s">
        <v>5893</v>
      </c>
      <c r="E1655" s="10" t="str">
        <f>HYPERLINK("https://twitter.com/CGdPedraza/status/1070270469398519808","1070270469398519808")</f>
        <v>1070270469398519808</v>
      </c>
      <c r="F1655" s="16" t="s">
        <v>5850</v>
      </c>
      <c r="G1655" s="11"/>
      <c r="H1655" s="11"/>
      <c r="I1655" s="12">
        <v>2</v>
      </c>
      <c r="J1655" s="12">
        <v>7</v>
      </c>
      <c r="K1655" s="13" t="str">
        <f>HYPERLINK("http://twitter.com","Twitter Web Client")</f>
        <v>Twitter Web Client</v>
      </c>
      <c r="L1655" s="12">
        <v>270</v>
      </c>
      <c r="M1655" s="12">
        <v>348</v>
      </c>
      <c r="N1655" s="12">
        <v>5</v>
      </c>
      <c r="O1655" s="14"/>
      <c r="P1655" s="6">
        <v>40812.927928240737</v>
      </c>
      <c r="Q1655" s="15" t="s">
        <v>2263</v>
      </c>
      <c r="R1655" s="17" t="s">
        <v>5894</v>
      </c>
      <c r="S1655" s="16" t="s">
        <v>5895</v>
      </c>
      <c r="T1655" s="11"/>
      <c r="U1655" s="10" t="str">
        <f>HYPERLINK("https://pbs.twimg.com/profile_images/966813426772307971/2etvSPM0.jpg","View")</f>
        <v>View</v>
      </c>
    </row>
    <row r="1656" spans="1:21" ht="40.799999999999997">
      <c r="A1656" s="6">
        <v>43439.496770833328</v>
      </c>
      <c r="B1656" s="7" t="str">
        <f>HYPERLINK("https://twitter.com/Vox_Cantabria","@Vox_Cantabria")</f>
        <v>@Vox_Cantabria</v>
      </c>
      <c r="C1656" s="8" t="s">
        <v>5896</v>
      </c>
      <c r="D1656" s="9" t="s">
        <v>5897</v>
      </c>
      <c r="E1656" s="10" t="str">
        <f>HYPERLINK("https://twitter.com/Vox_Cantabria/status/1070270396027551744","1070270396027551744")</f>
        <v>1070270396027551744</v>
      </c>
      <c r="F1656" s="16" t="s">
        <v>5898</v>
      </c>
      <c r="G1656" s="11"/>
      <c r="H1656" s="11"/>
      <c r="I1656" s="12">
        <v>1</v>
      </c>
      <c r="J1656" s="12">
        <v>1</v>
      </c>
      <c r="K1656" s="13" t="str">
        <f>HYPERLINK("http://www.facebook.com/twitter","Facebook")</f>
        <v>Facebook</v>
      </c>
      <c r="L1656" s="12">
        <v>2012</v>
      </c>
      <c r="M1656" s="12">
        <v>371</v>
      </c>
      <c r="N1656" s="12">
        <v>16</v>
      </c>
      <c r="O1656" s="14"/>
      <c r="P1656" s="6">
        <v>42324.617812500001</v>
      </c>
      <c r="Q1656" s="15" t="s">
        <v>4131</v>
      </c>
      <c r="R1656" s="17" t="s">
        <v>5899</v>
      </c>
      <c r="S1656" s="16" t="s">
        <v>4653</v>
      </c>
      <c r="T1656" s="11"/>
      <c r="U1656" s="10" t="str">
        <f>HYPERLINK("https://pbs.twimg.com/profile_images/1050711617770524678/NRqnfMNA.jpg","View")</f>
        <v>View</v>
      </c>
    </row>
    <row r="1657" spans="1:21" ht="30.6">
      <c r="A1657" s="6">
        <v>43439.494525462964</v>
      </c>
      <c r="B1657" s="7" t="str">
        <f>HYPERLINK("https://twitter.com/_Javitus_","@_Javitus_")</f>
        <v>@_Javitus_</v>
      </c>
      <c r="C1657" s="8" t="s">
        <v>5900</v>
      </c>
      <c r="D1657" s="9" t="s">
        <v>5901</v>
      </c>
      <c r="E1657" s="10" t="str">
        <f>HYPERLINK("https://twitter.com/_Javitus_/status/1070269582663933952","1070269582663933952")</f>
        <v>1070269582663933952</v>
      </c>
      <c r="F1657" s="11"/>
      <c r="G1657" s="11"/>
      <c r="H1657" s="11"/>
      <c r="I1657" s="12">
        <v>0</v>
      </c>
      <c r="J1657" s="12">
        <v>0</v>
      </c>
      <c r="K1657" s="13" t="str">
        <f>HYPERLINK("http://twitter.com","Twitter Web Client")</f>
        <v>Twitter Web Client</v>
      </c>
      <c r="L1657" s="12">
        <v>249</v>
      </c>
      <c r="M1657" s="12">
        <v>776</v>
      </c>
      <c r="N1657" s="12">
        <v>2</v>
      </c>
      <c r="O1657" s="14"/>
      <c r="P1657" s="6">
        <v>40610.923356481479</v>
      </c>
      <c r="Q1657" s="11"/>
      <c r="R1657" s="18"/>
      <c r="S1657" s="11"/>
      <c r="T1657" s="11"/>
      <c r="U1657" s="10" t="str">
        <f>HYPERLINK("https://pbs.twimg.com/profile_images/1003912960186765313/OgXc8evH.jpg","View")</f>
        <v>View</v>
      </c>
    </row>
    <row r="1658" spans="1:21" ht="30.6">
      <c r="A1658" s="6">
        <v>43439.493576388893</v>
      </c>
      <c r="B1658" s="7" t="str">
        <f>HYPERLINK("https://twitter.com/juanjoband24","@juanjoband24")</f>
        <v>@juanjoband24</v>
      </c>
      <c r="C1658" s="8" t="s">
        <v>5902</v>
      </c>
      <c r="D1658" s="9" t="s">
        <v>5903</v>
      </c>
      <c r="E1658" s="10" t="str">
        <f>HYPERLINK("https://twitter.com/juanjoband24/status/1070269238529703936","1070269238529703936")</f>
        <v>1070269238529703936</v>
      </c>
      <c r="F1658" s="11"/>
      <c r="G1658" s="11"/>
      <c r="H1658" s="11"/>
      <c r="I1658" s="12">
        <v>16</v>
      </c>
      <c r="J1658" s="12">
        <v>15</v>
      </c>
      <c r="K1658" s="13" t="str">
        <f t="shared" ref="K1658:K1661" si="380">HYPERLINK("http://twitter.com/download/android","Twitter for Android")</f>
        <v>Twitter for Android</v>
      </c>
      <c r="L1658" s="12">
        <v>2130</v>
      </c>
      <c r="M1658" s="12">
        <v>992</v>
      </c>
      <c r="N1658" s="12">
        <v>13</v>
      </c>
      <c r="O1658" s="14"/>
      <c r="P1658" s="6">
        <v>40844.696689814817</v>
      </c>
      <c r="Q1658" s="15" t="s">
        <v>5904</v>
      </c>
      <c r="R1658" s="26" t="s">
        <v>5905</v>
      </c>
      <c r="S1658" s="11"/>
      <c r="T1658" s="11"/>
      <c r="U1658" s="10" t="str">
        <f>HYPERLINK("https://pbs.twimg.com/profile_images/1031236136675491840/ZxteYaNT.jpg","View")</f>
        <v>View</v>
      </c>
    </row>
    <row r="1659" spans="1:21" ht="51">
      <c r="A1659" s="6">
        <v>43439.492997685185</v>
      </c>
      <c r="B1659" s="7" t="str">
        <f>HYPERLINK("https://twitter.com/pablobarajas77","@pablobarajas77")</f>
        <v>@pablobarajas77</v>
      </c>
      <c r="C1659" s="8" t="s">
        <v>5906</v>
      </c>
      <c r="D1659" s="9" t="s">
        <v>5907</v>
      </c>
      <c r="E1659" s="10" t="str">
        <f>HYPERLINK("https://twitter.com/pablobarajas77/status/1070269029695320064","1070269029695320064")</f>
        <v>1070269029695320064</v>
      </c>
      <c r="F1659" s="11"/>
      <c r="G1659" s="11"/>
      <c r="H1659" s="11"/>
      <c r="I1659" s="12">
        <v>0</v>
      </c>
      <c r="J1659" s="12">
        <v>2</v>
      </c>
      <c r="K1659" s="13" t="str">
        <f t="shared" si="380"/>
        <v>Twitter for Android</v>
      </c>
      <c r="L1659" s="12">
        <v>244</v>
      </c>
      <c r="M1659" s="12">
        <v>327</v>
      </c>
      <c r="N1659" s="12">
        <v>1</v>
      </c>
      <c r="O1659" s="14"/>
      <c r="P1659" s="6">
        <v>40902.746805555558</v>
      </c>
      <c r="Q1659" s="15" t="s">
        <v>5908</v>
      </c>
      <c r="R1659" s="17" t="s">
        <v>5909</v>
      </c>
      <c r="S1659" s="11"/>
      <c r="T1659" s="11"/>
      <c r="U1659" s="10" t="str">
        <f>HYPERLINK("https://pbs.twimg.com/profile_images/856230415899779073/MqTK8Tl4.jpg","View")</f>
        <v>View</v>
      </c>
    </row>
    <row r="1660" spans="1:21" ht="20.399999999999999">
      <c r="A1660" s="6">
        <v>43439.492893518516</v>
      </c>
      <c r="B1660" s="7" t="str">
        <f>HYPERLINK("https://twitter.com/MariaGu72189811","@MariaGu72189811")</f>
        <v>@MariaGu72189811</v>
      </c>
      <c r="C1660" s="8" t="s">
        <v>5910</v>
      </c>
      <c r="D1660" s="9" t="s">
        <v>5911</v>
      </c>
      <c r="E1660" s="10" t="str">
        <f>HYPERLINK("https://twitter.com/MariaGu72189811/status/1070268989622882304","1070268989622882304")</f>
        <v>1070268989622882304</v>
      </c>
      <c r="F1660" s="16" t="s">
        <v>1568</v>
      </c>
      <c r="G1660" s="11"/>
      <c r="H1660" s="11"/>
      <c r="I1660" s="12">
        <v>1</v>
      </c>
      <c r="J1660" s="12">
        <v>1</v>
      </c>
      <c r="K1660" s="13" t="str">
        <f t="shared" si="380"/>
        <v>Twitter for Android</v>
      </c>
      <c r="L1660" s="12">
        <v>44</v>
      </c>
      <c r="M1660" s="12">
        <v>34</v>
      </c>
      <c r="N1660" s="12">
        <v>0</v>
      </c>
      <c r="O1660" s="14"/>
      <c r="P1660" s="6">
        <v>42910.941863425927</v>
      </c>
      <c r="Q1660" s="11"/>
      <c r="R1660" s="18"/>
      <c r="S1660" s="11"/>
      <c r="T1660" s="11"/>
      <c r="U1660" s="10" t="str">
        <f>HYPERLINK("https://pbs.twimg.com/profile_images/976936074403598338/vYDZt2vq.jpg","View")</f>
        <v>View</v>
      </c>
    </row>
    <row r="1661" spans="1:21" ht="71.400000000000006">
      <c r="A1661" s="6">
        <v>43439.492858796293</v>
      </c>
      <c r="B1661" s="7" t="str">
        <f>HYPERLINK("https://twitter.com/loba00722","@loba00722")</f>
        <v>@loba00722</v>
      </c>
      <c r="C1661" s="8" t="s">
        <v>5912</v>
      </c>
      <c r="D1661" s="9" t="s">
        <v>5913</v>
      </c>
      <c r="E1661" s="10" t="str">
        <f>HYPERLINK("https://twitter.com/loba00722/status/1070268978952581121","1070268978952581121")</f>
        <v>1070268978952581121</v>
      </c>
      <c r="F1661" s="15" t="s">
        <v>5914</v>
      </c>
      <c r="G1661" s="11"/>
      <c r="H1661" s="11"/>
      <c r="I1661" s="12">
        <v>0</v>
      </c>
      <c r="J1661" s="12">
        <v>0</v>
      </c>
      <c r="K1661" s="13" t="str">
        <f t="shared" si="380"/>
        <v>Twitter for Android</v>
      </c>
      <c r="L1661" s="12">
        <v>4331</v>
      </c>
      <c r="M1661" s="12">
        <v>4967</v>
      </c>
      <c r="N1661" s="12">
        <v>105</v>
      </c>
      <c r="O1661" s="14"/>
      <c r="P1661" s="6">
        <v>41787.698553240742</v>
      </c>
      <c r="Q1661" s="15" t="s">
        <v>4486</v>
      </c>
      <c r="R1661" s="17" t="s">
        <v>5915</v>
      </c>
      <c r="S1661" s="11"/>
      <c r="T1661" s="11"/>
      <c r="U1661" s="10" t="str">
        <f>HYPERLINK("https://pbs.twimg.com/profile_images/1014435377329917952/4yFBNjra.jpg","View")</f>
        <v>View</v>
      </c>
    </row>
    <row r="1662" spans="1:21" ht="30.6">
      <c r="A1662" s="6">
        <v>43439.49219907407</v>
      </c>
      <c r="B1662" s="7" t="str">
        <f>HYPERLINK("https://twitter.com/Sebi_Berenger","@Sebi_Berenger")</f>
        <v>@Sebi_Berenger</v>
      </c>
      <c r="C1662" s="8" t="s">
        <v>5916</v>
      </c>
      <c r="D1662" s="9" t="s">
        <v>5917</v>
      </c>
      <c r="E1662" s="10" t="str">
        <f>HYPERLINK("https://twitter.com/Sebi_Berenger/status/1070268737067147264","1070268737067147264")</f>
        <v>1070268737067147264</v>
      </c>
      <c r="F1662" s="11"/>
      <c r="G1662" s="16" t="s">
        <v>5918</v>
      </c>
      <c r="H1662" s="11"/>
      <c r="I1662" s="12">
        <v>1</v>
      </c>
      <c r="J1662" s="12">
        <v>2</v>
      </c>
      <c r="K1662" s="13" t="str">
        <f t="shared" ref="K1662:K1663" si="381">HYPERLINK("http://twitter.com","Twitter Web Client")</f>
        <v>Twitter Web Client</v>
      </c>
      <c r="L1662" s="12">
        <v>1638</v>
      </c>
      <c r="M1662" s="12">
        <v>746</v>
      </c>
      <c r="N1662" s="12">
        <v>17</v>
      </c>
      <c r="O1662" s="14"/>
      <c r="P1662" s="6">
        <v>40543.820694444446</v>
      </c>
      <c r="Q1662" s="15" t="s">
        <v>5919</v>
      </c>
      <c r="R1662" s="17" t="s">
        <v>5920</v>
      </c>
      <c r="S1662" s="11"/>
      <c r="T1662" s="11"/>
      <c r="U1662" s="10" t="str">
        <f>HYPERLINK("https://pbs.twimg.com/profile_images/983752038294130688/f7YFl13_.jpg","View")</f>
        <v>View</v>
      </c>
    </row>
    <row r="1663" spans="1:21" ht="51">
      <c r="A1663" s="6">
        <v>43439.491805555561</v>
      </c>
      <c r="B1663" s="7" t="str">
        <f>HYPERLINK("https://twitter.com/majadesquiciada","@majadesquiciada")</f>
        <v>@majadesquiciada</v>
      </c>
      <c r="C1663" s="8" t="s">
        <v>5921</v>
      </c>
      <c r="D1663" s="9" t="s">
        <v>5922</v>
      </c>
      <c r="E1663" s="10" t="str">
        <f>HYPERLINK("https://twitter.com/majadesquiciada/status/1070268594288775174","1070268594288775174")</f>
        <v>1070268594288775174</v>
      </c>
      <c r="F1663" s="11"/>
      <c r="G1663" s="11"/>
      <c r="H1663" s="11"/>
      <c r="I1663" s="12">
        <v>0</v>
      </c>
      <c r="J1663" s="12">
        <v>2</v>
      </c>
      <c r="K1663" s="13" t="str">
        <f t="shared" si="381"/>
        <v>Twitter Web Client</v>
      </c>
      <c r="L1663" s="12">
        <v>6</v>
      </c>
      <c r="M1663" s="12">
        <v>41</v>
      </c>
      <c r="N1663" s="12">
        <v>0</v>
      </c>
      <c r="O1663" s="14"/>
      <c r="P1663" s="6">
        <v>43393.096770833334</v>
      </c>
      <c r="Q1663" s="15" t="s">
        <v>5923</v>
      </c>
      <c r="R1663" s="17" t="s">
        <v>5924</v>
      </c>
      <c r="S1663" s="11"/>
      <c r="T1663" s="11"/>
      <c r="U1663" s="10" t="str">
        <f>HYPERLINK("https://pbs.twimg.com/profile_images/1068213746600939520/Wul6nQe7.jpg","View")</f>
        <v>View</v>
      </c>
    </row>
    <row r="1664" spans="1:21" ht="20.399999999999999">
      <c r="A1664" s="6">
        <v>43439.486203703702</v>
      </c>
      <c r="B1664" s="7" t="str">
        <f>HYPERLINK("https://twitter.com/FranMunumel","@FranMunumel")</f>
        <v>@FranMunumel</v>
      </c>
      <c r="C1664" s="8" t="s">
        <v>5925</v>
      </c>
      <c r="D1664" s="9" t="s">
        <v>5926</v>
      </c>
      <c r="E1664" s="10" t="str">
        <f>HYPERLINK("https://twitter.com/FranMunumel/status/1070266565919150081","1070266565919150081")</f>
        <v>1070266565919150081</v>
      </c>
      <c r="F1664" s="11"/>
      <c r="G1664" s="11"/>
      <c r="H1664" s="11"/>
      <c r="I1664" s="12">
        <v>0</v>
      </c>
      <c r="J1664" s="12">
        <v>1</v>
      </c>
      <c r="K1664" s="13" t="str">
        <f>HYPERLINK("http://twitter.com/download/iphone","Twitter for iPhone")</f>
        <v>Twitter for iPhone</v>
      </c>
      <c r="L1664" s="12">
        <v>602</v>
      </c>
      <c r="M1664" s="12">
        <v>1092</v>
      </c>
      <c r="N1664" s="12">
        <v>17</v>
      </c>
      <c r="O1664" s="14"/>
      <c r="P1664" s="6">
        <v>40439.751932870371</v>
      </c>
      <c r="Q1664" s="15" t="s">
        <v>5927</v>
      </c>
      <c r="R1664" s="17" t="s">
        <v>5928</v>
      </c>
      <c r="S1664" s="11"/>
      <c r="T1664" s="11"/>
      <c r="U1664" s="10" t="str">
        <f>HYPERLINK("https://pbs.twimg.com/profile_images/758220096066158592/ZvZYg-R_.jpg","View")</f>
        <v>View</v>
      </c>
    </row>
    <row r="1665" spans="1:21" ht="61.2">
      <c r="A1665" s="6">
        <v>43439.485601851848</v>
      </c>
      <c r="B1665" s="7" t="str">
        <f>HYPERLINK("https://twitter.com/DalyMayora","@DalyMayora")</f>
        <v>@DalyMayora</v>
      </c>
      <c r="C1665" s="8" t="s">
        <v>5929</v>
      </c>
      <c r="D1665" s="9" t="s">
        <v>5930</v>
      </c>
      <c r="E1665" s="10" t="str">
        <f>HYPERLINK("https://twitter.com/DalyMayora/status/1070266347324665856","1070266347324665856")</f>
        <v>1070266347324665856</v>
      </c>
      <c r="F1665" s="11"/>
      <c r="G1665" s="16" t="s">
        <v>5931</v>
      </c>
      <c r="H1665" s="11"/>
      <c r="I1665" s="12">
        <v>1</v>
      </c>
      <c r="J1665" s="12">
        <v>1</v>
      </c>
      <c r="K1665" s="13" t="str">
        <f t="shared" ref="K1665:K1666" si="382">HYPERLINK("http://twitter.com/download/android","Twitter for Android")</f>
        <v>Twitter for Android</v>
      </c>
      <c r="L1665" s="12">
        <v>10813</v>
      </c>
      <c r="M1665" s="12">
        <v>9926</v>
      </c>
      <c r="N1665" s="12">
        <v>415</v>
      </c>
      <c r="O1665" s="14"/>
      <c r="P1665" s="6">
        <v>42375.863321759258</v>
      </c>
      <c r="Q1665" s="15" t="s">
        <v>5932</v>
      </c>
      <c r="R1665" s="17" t="s">
        <v>5933</v>
      </c>
      <c r="S1665" s="16" t="s">
        <v>5934</v>
      </c>
      <c r="T1665" s="11"/>
      <c r="U1665" s="10" t="str">
        <f>HYPERLINK("https://pbs.twimg.com/profile_images/1021440497817178119/6jkfmKkB.jpg","View")</f>
        <v>View</v>
      </c>
    </row>
    <row r="1666" spans="1:21" ht="102">
      <c r="A1666" s="6">
        <v>43439.484722222223</v>
      </c>
      <c r="B1666" s="7" t="str">
        <f>HYPERLINK("https://twitter.com/_cecae","@_cecae")</f>
        <v>@_cecae</v>
      </c>
      <c r="C1666" s="27" t="s">
        <v>5935</v>
      </c>
      <c r="D1666" s="9" t="s">
        <v>5936</v>
      </c>
      <c r="E1666" s="10" t="str">
        <f>HYPERLINK("https://twitter.com/_cecae/status/1070266029471875072","1070266029471875072")</f>
        <v>1070266029471875072</v>
      </c>
      <c r="F1666" s="16" t="s">
        <v>5937</v>
      </c>
      <c r="G1666" s="11"/>
      <c r="H1666" s="11"/>
      <c r="I1666" s="12">
        <v>2</v>
      </c>
      <c r="J1666" s="12">
        <v>2</v>
      </c>
      <c r="K1666" s="13" t="str">
        <f t="shared" si="382"/>
        <v>Twitter for Android</v>
      </c>
      <c r="L1666" s="12">
        <v>501</v>
      </c>
      <c r="M1666" s="12">
        <v>527</v>
      </c>
      <c r="N1666" s="12">
        <v>18</v>
      </c>
      <c r="O1666" s="14"/>
      <c r="P1666" s="6">
        <v>40878.885648148149</v>
      </c>
      <c r="Q1666" s="15" t="s">
        <v>197</v>
      </c>
      <c r="R1666" s="17" t="s">
        <v>5938</v>
      </c>
      <c r="S1666" s="11"/>
      <c r="T1666" s="11"/>
      <c r="U1666" s="10" t="str">
        <f>HYPERLINK("https://pbs.twimg.com/profile_images/958418796150247425/Hxit3tBR.jpg","View")</f>
        <v>View</v>
      </c>
    </row>
    <row r="1667" spans="1:21" ht="30.6">
      <c r="A1667" s="6">
        <v>43439.482569444444</v>
      </c>
      <c r="B1667" s="7" t="str">
        <f>HYPERLINK("https://twitter.com/pacohortado","@pacohortado")</f>
        <v>@pacohortado</v>
      </c>
      <c r="C1667" s="8" t="s">
        <v>5939</v>
      </c>
      <c r="D1667" s="9" t="s">
        <v>5940</v>
      </c>
      <c r="E1667" s="10" t="str">
        <f>HYPERLINK("https://twitter.com/pacohortado/status/1070265249645907969","1070265249645907969")</f>
        <v>1070265249645907969</v>
      </c>
      <c r="F1667" s="11"/>
      <c r="G1667" s="16" t="s">
        <v>5941</v>
      </c>
      <c r="H1667" s="11"/>
      <c r="I1667" s="12">
        <v>0</v>
      </c>
      <c r="J1667" s="12">
        <v>1</v>
      </c>
      <c r="K1667" s="13" t="str">
        <f t="shared" ref="K1667:K1669" si="383">HYPERLINK("http://twitter.com","Twitter Web Client")</f>
        <v>Twitter Web Client</v>
      </c>
      <c r="L1667" s="12">
        <v>2502</v>
      </c>
      <c r="M1667" s="12">
        <v>1922</v>
      </c>
      <c r="N1667" s="12">
        <v>49</v>
      </c>
      <c r="O1667" s="14"/>
      <c r="P1667" s="6">
        <v>40957.884305555555</v>
      </c>
      <c r="Q1667" s="11"/>
      <c r="R1667" s="17" t="s">
        <v>5942</v>
      </c>
      <c r="S1667" s="11"/>
      <c r="T1667" s="11"/>
      <c r="U1667" s="10" t="str">
        <f>HYPERLINK("https://pbs.twimg.com/profile_images/614868273948180480/ByNs7DtV.png","View")</f>
        <v>View</v>
      </c>
    </row>
    <row r="1668" spans="1:21" ht="20.399999999999999">
      <c r="A1668" s="6">
        <v>43439.482557870375</v>
      </c>
      <c r="B1668" s="7" t="str">
        <f>HYPERLINK("https://twitter.com/BecasENFURECIDO","@BecasENFURECIDO")</f>
        <v>@BecasENFURECIDO</v>
      </c>
      <c r="C1668" s="8" t="s">
        <v>5943</v>
      </c>
      <c r="D1668" s="9" t="s">
        <v>5944</v>
      </c>
      <c r="E1668" s="10" t="str">
        <f>HYPERLINK("https://twitter.com/BecasENFURECIDO/status/1070265244478513153","1070265244478513153")</f>
        <v>1070265244478513153</v>
      </c>
      <c r="F1668" s="11"/>
      <c r="G1668" s="11"/>
      <c r="H1668" s="11"/>
      <c r="I1668" s="12">
        <v>0</v>
      </c>
      <c r="J1668" s="12">
        <v>0</v>
      </c>
      <c r="K1668" s="13" t="str">
        <f t="shared" si="383"/>
        <v>Twitter Web Client</v>
      </c>
      <c r="L1668" s="12">
        <v>22</v>
      </c>
      <c r="M1668" s="12">
        <v>48</v>
      </c>
      <c r="N1668" s="12">
        <v>0</v>
      </c>
      <c r="O1668" s="14"/>
      <c r="P1668" s="6">
        <v>42960.543865740736</v>
      </c>
      <c r="Q1668" s="15" t="s">
        <v>1440</v>
      </c>
      <c r="R1668" s="18"/>
      <c r="S1668" s="11"/>
      <c r="T1668" s="11"/>
      <c r="U1668" s="10" t="str">
        <f>HYPERLINK("https://pbs.twimg.com/profile_images/896695006202867713/1XcYLUao.jpg","View")</f>
        <v>View</v>
      </c>
    </row>
    <row r="1669" spans="1:21" ht="51">
      <c r="A1669" s="6">
        <v>43439.480347222227</v>
      </c>
      <c r="B1669" s="7" t="str">
        <f>HYPERLINK("https://twitter.com/TercioViejo__","@TercioViejo__")</f>
        <v>@TercioViejo__</v>
      </c>
      <c r="C1669" s="8" t="s">
        <v>5945</v>
      </c>
      <c r="D1669" s="9" t="s">
        <v>5946</v>
      </c>
      <c r="E1669" s="10" t="str">
        <f>HYPERLINK("https://twitter.com/TercioViejo__/status/1070264442741493760","1070264442741493760")</f>
        <v>1070264442741493760</v>
      </c>
      <c r="F1669" s="11"/>
      <c r="G1669" s="11"/>
      <c r="H1669" s="11"/>
      <c r="I1669" s="12">
        <v>19</v>
      </c>
      <c r="J1669" s="12">
        <v>26</v>
      </c>
      <c r="K1669" s="13" t="str">
        <f t="shared" si="383"/>
        <v>Twitter Web Client</v>
      </c>
      <c r="L1669" s="12">
        <v>33</v>
      </c>
      <c r="M1669" s="12">
        <v>37</v>
      </c>
      <c r="N1669" s="12">
        <v>0</v>
      </c>
      <c r="O1669" s="14"/>
      <c r="P1669" s="6">
        <v>41801.758090277777</v>
      </c>
      <c r="Q1669" s="15" t="s">
        <v>197</v>
      </c>
      <c r="R1669" s="17" t="s">
        <v>5947</v>
      </c>
      <c r="S1669" s="11"/>
      <c r="T1669" s="11"/>
      <c r="U1669" s="10" t="str">
        <f>HYPERLINK("https://pbs.twimg.com/profile_images/1069984341034500097/mQV6ivk9.jpg","View")</f>
        <v>View</v>
      </c>
    </row>
    <row r="1670" spans="1:21" ht="20.399999999999999">
      <c r="A1670" s="6">
        <v>43439.480266203704</v>
      </c>
      <c r="B1670" s="7" t="str">
        <f>HYPERLINK("https://twitter.com/JaimeWarArt","@JaimeWarArt")</f>
        <v>@JaimeWarArt</v>
      </c>
      <c r="C1670" s="8" t="s">
        <v>5948</v>
      </c>
      <c r="D1670" s="9" t="s">
        <v>5949</v>
      </c>
      <c r="E1670" s="10" t="str">
        <f>HYPERLINK("https://twitter.com/JaimeWarArt/status/1070264412810940418","1070264412810940418")</f>
        <v>1070264412810940418</v>
      </c>
      <c r="F1670" s="11"/>
      <c r="G1670" s="16" t="s">
        <v>5950</v>
      </c>
      <c r="H1670" s="11"/>
      <c r="I1670" s="12">
        <v>0</v>
      </c>
      <c r="J1670" s="12">
        <v>1</v>
      </c>
      <c r="K1670" s="13" t="str">
        <f t="shared" ref="K1670:K1672" si="384">HYPERLINK("http://twitter.com/download/android","Twitter for Android")</f>
        <v>Twitter for Android</v>
      </c>
      <c r="L1670" s="12">
        <v>190</v>
      </c>
      <c r="M1670" s="12">
        <v>366</v>
      </c>
      <c r="N1670" s="12">
        <v>0</v>
      </c>
      <c r="O1670" s="14"/>
      <c r="P1670" s="6">
        <v>40918.777916666666</v>
      </c>
      <c r="Q1670" s="15" t="s">
        <v>4131</v>
      </c>
      <c r="R1670" s="17" t="s">
        <v>5951</v>
      </c>
      <c r="S1670" s="16" t="s">
        <v>5952</v>
      </c>
      <c r="T1670" s="11"/>
      <c r="U1670" s="10" t="str">
        <f>HYPERLINK("https://pbs.twimg.com/profile_images/1044316713465139202/or4O-UPr.jpg","View")</f>
        <v>View</v>
      </c>
    </row>
    <row r="1671" spans="1:21" ht="51">
      <c r="A1671" s="6">
        <v>43439.479398148149</v>
      </c>
      <c r="B1671" s="7" t="str">
        <f>HYPERLINK("https://twitter.com/Luisdesantos","@Luisdesantos")</f>
        <v>@Luisdesantos</v>
      </c>
      <c r="C1671" s="8" t="s">
        <v>5953</v>
      </c>
      <c r="D1671" s="9" t="s">
        <v>5954</v>
      </c>
      <c r="E1671" s="10" t="str">
        <f>HYPERLINK("https://twitter.com/Luisdesantos/status/1070264099240595457","1070264099240595457")</f>
        <v>1070264099240595457</v>
      </c>
      <c r="F1671" s="11"/>
      <c r="G1671" s="11"/>
      <c r="H1671" s="11"/>
      <c r="I1671" s="12">
        <v>0</v>
      </c>
      <c r="J1671" s="12">
        <v>3</v>
      </c>
      <c r="K1671" s="13" t="str">
        <f t="shared" si="384"/>
        <v>Twitter for Android</v>
      </c>
      <c r="L1671" s="12">
        <v>433</v>
      </c>
      <c r="M1671" s="12">
        <v>309</v>
      </c>
      <c r="N1671" s="12">
        <v>15</v>
      </c>
      <c r="O1671" s="14"/>
      <c r="P1671" s="6">
        <v>40556.759016203701</v>
      </c>
      <c r="Q1671" s="11"/>
      <c r="R1671" s="17" t="s">
        <v>5955</v>
      </c>
      <c r="S1671" s="16" t="s">
        <v>5956</v>
      </c>
      <c r="T1671" s="11"/>
      <c r="U1671" s="10" t="str">
        <f>HYPERLINK("https://pbs.twimg.com/profile_images/1045612056509132800/EUf0iqSB.jpg","View")</f>
        <v>View</v>
      </c>
    </row>
    <row r="1672" spans="1:21" ht="30.6">
      <c r="A1672" s="6">
        <v>43439.478912037041</v>
      </c>
      <c r="B1672" s="7" t="str">
        <f>HYPERLINK("https://twitter.com/milagrossanzdel","@milagrossanzdel")</f>
        <v>@milagrossanzdel</v>
      </c>
      <c r="C1672" s="8" t="s">
        <v>5957</v>
      </c>
      <c r="D1672" s="9" t="s">
        <v>5958</v>
      </c>
      <c r="E1672" s="10" t="str">
        <f>HYPERLINK("https://twitter.com/milagrossanzdel/status/1070263922387771392","1070263922387771392")</f>
        <v>1070263922387771392</v>
      </c>
      <c r="F1672" s="16" t="s">
        <v>5959</v>
      </c>
      <c r="G1672" s="11"/>
      <c r="H1672" s="11"/>
      <c r="I1672" s="12">
        <v>0</v>
      </c>
      <c r="J1672" s="12">
        <v>0</v>
      </c>
      <c r="K1672" s="13" t="str">
        <f t="shared" si="384"/>
        <v>Twitter for Android</v>
      </c>
      <c r="L1672" s="12">
        <v>341</v>
      </c>
      <c r="M1672" s="12">
        <v>809</v>
      </c>
      <c r="N1672" s="12">
        <v>12</v>
      </c>
      <c r="O1672" s="14"/>
      <c r="P1672" s="6">
        <v>40982.448749999996</v>
      </c>
      <c r="Q1672" s="15" t="s">
        <v>5960</v>
      </c>
      <c r="R1672" s="17" t="s">
        <v>5961</v>
      </c>
      <c r="S1672" s="11"/>
      <c r="T1672" s="11"/>
      <c r="U1672" s="10" t="str">
        <f>HYPERLINK("https://pbs.twimg.com/profile_images/2919887186/8a6cb0d0f0f26ad1ad3f6bfcc796b43b.jpeg","View")</f>
        <v>View</v>
      </c>
    </row>
    <row r="1673" spans="1:21" ht="30.6">
      <c r="A1673" s="6">
        <v>43439.478495370371</v>
      </c>
      <c r="B1673" s="7" t="str">
        <f>HYPERLINK("https://twitter.com/MediterraneoDGT","@MediterraneoDGT")</f>
        <v>@MediterraneoDGT</v>
      </c>
      <c r="C1673" s="8" t="s">
        <v>4436</v>
      </c>
      <c r="D1673" s="9" t="s">
        <v>5962</v>
      </c>
      <c r="E1673" s="10" t="str">
        <f>HYPERLINK("https://twitter.com/MediterraneoDGT/status/1070263774291083266","1070263774291083266")</f>
        <v>1070263774291083266</v>
      </c>
      <c r="F1673" s="16" t="s">
        <v>5725</v>
      </c>
      <c r="G1673" s="11"/>
      <c r="H1673" s="11"/>
      <c r="I1673" s="12">
        <v>176</v>
      </c>
      <c r="J1673" s="12">
        <v>395</v>
      </c>
      <c r="K1673" s="13" t="str">
        <f>HYPERLINK("http://twitter.com","Twitter Web Client")</f>
        <v>Twitter Web Client</v>
      </c>
      <c r="L1673" s="12">
        <v>46954</v>
      </c>
      <c r="M1673" s="12">
        <v>573</v>
      </c>
      <c r="N1673" s="12">
        <v>427</v>
      </c>
      <c r="O1673" s="23" t="s">
        <v>89</v>
      </c>
      <c r="P1673" s="6">
        <v>40460.786620370374</v>
      </c>
      <c r="Q1673" s="15" t="s">
        <v>197</v>
      </c>
      <c r="R1673" s="17" t="s">
        <v>4439</v>
      </c>
      <c r="S1673" s="16" t="s">
        <v>4440</v>
      </c>
      <c r="T1673" s="11"/>
      <c r="U1673" s="10" t="str">
        <f>HYPERLINK("https://pbs.twimg.com/profile_images/756475645941673984/TNBJ4frX.jpg","View")</f>
        <v>View</v>
      </c>
    </row>
    <row r="1674" spans="1:21" ht="51">
      <c r="A1674" s="6">
        <v>43439.477858796294</v>
      </c>
      <c r="B1674" s="7" t="str">
        <f>HYPERLINK("https://twitter.com/karlseta_2","@karlseta_2")</f>
        <v>@karlseta_2</v>
      </c>
      <c r="C1674" s="8" t="s">
        <v>1156</v>
      </c>
      <c r="D1674" s="9" t="s">
        <v>5963</v>
      </c>
      <c r="E1674" s="10" t="str">
        <f>HYPERLINK("https://twitter.com/karlseta_2/status/1070263540597092352","1070263540597092352")</f>
        <v>1070263540597092352</v>
      </c>
      <c r="F1674" s="16" t="s">
        <v>284</v>
      </c>
      <c r="G1674" s="11"/>
      <c r="H1674" s="11"/>
      <c r="I1674" s="12">
        <v>9</v>
      </c>
      <c r="J1674" s="12">
        <v>11</v>
      </c>
      <c r="K1674" s="13" t="str">
        <f>HYPERLINK("http://twitter.com/download/android","Twitter for Android")</f>
        <v>Twitter for Android</v>
      </c>
      <c r="L1674" s="12">
        <v>1237</v>
      </c>
      <c r="M1674" s="12">
        <v>1135</v>
      </c>
      <c r="N1674" s="12">
        <v>0</v>
      </c>
      <c r="O1674" s="14"/>
      <c r="P1674" s="6">
        <v>43209.593599537038</v>
      </c>
      <c r="Q1674" s="15" t="s">
        <v>1159</v>
      </c>
      <c r="R1674" s="17" t="s">
        <v>1160</v>
      </c>
      <c r="S1674" s="11"/>
      <c r="T1674" s="11"/>
      <c r="U1674" s="10" t="str">
        <f>HYPERLINK("https://pbs.twimg.com/profile_images/1057562733988798464/NVHu_6Bc.jpg","View")</f>
        <v>View</v>
      </c>
    </row>
    <row r="1675" spans="1:21" ht="30.6">
      <c r="A1675" s="6">
        <v>43439.477766203709</v>
      </c>
      <c r="B1675" s="7" t="str">
        <f>HYPERLINK("https://twitter.com/elprogramadear","@elprogramadear")</f>
        <v>@elprogramadear</v>
      </c>
      <c r="C1675" s="8" t="s">
        <v>5964</v>
      </c>
      <c r="D1675" s="9" t="s">
        <v>5965</v>
      </c>
      <c r="E1675" s="10" t="str">
        <f>HYPERLINK("https://twitter.com/elprogramadear/status/1070263508279980033","1070263508279980033")</f>
        <v>1070263508279980033</v>
      </c>
      <c r="F1675" s="16" t="s">
        <v>5966</v>
      </c>
      <c r="G1675" s="16" t="s">
        <v>5449</v>
      </c>
      <c r="H1675" s="11"/>
      <c r="I1675" s="12">
        <v>261</v>
      </c>
      <c r="J1675" s="12">
        <v>609</v>
      </c>
      <c r="K1675" s="13" t="str">
        <f>HYPERLINK("https://about.twitter.com/products/tweetdeck","TweetDeck")</f>
        <v>TweetDeck</v>
      </c>
      <c r="L1675" s="12">
        <v>261943</v>
      </c>
      <c r="M1675" s="12">
        <v>425</v>
      </c>
      <c r="N1675" s="12">
        <v>722</v>
      </c>
      <c r="O1675" s="23" t="s">
        <v>89</v>
      </c>
      <c r="P1675" s="6">
        <v>40589.664733796293</v>
      </c>
      <c r="Q1675" s="15" t="s">
        <v>5809</v>
      </c>
      <c r="R1675" s="17" t="s">
        <v>5967</v>
      </c>
      <c r="S1675" s="16" t="s">
        <v>5968</v>
      </c>
      <c r="T1675" s="11"/>
      <c r="U1675" s="10" t="str">
        <f>HYPERLINK("https://pbs.twimg.com/profile_images/1038202480704872448/XwU_Ptt1.jpg","View")</f>
        <v>View</v>
      </c>
    </row>
    <row r="1676" spans="1:21" ht="30.6">
      <c r="A1676" s="6">
        <v>43439.477638888886</v>
      </c>
      <c r="B1676" s="7" t="str">
        <f>HYPERLINK("https://twitter.com/BenderOfuscado","@BenderOfuscado")</f>
        <v>@BenderOfuscado</v>
      </c>
      <c r="C1676" s="8" t="s">
        <v>5969</v>
      </c>
      <c r="D1676" s="9" t="s">
        <v>5970</v>
      </c>
      <c r="E1676" s="10" t="str">
        <f>HYPERLINK("https://twitter.com/BenderOfuscado/status/1070263462302023680","1070263462302023680")</f>
        <v>1070263462302023680</v>
      </c>
      <c r="F1676" s="11"/>
      <c r="G1676" s="11"/>
      <c r="H1676" s="11"/>
      <c r="I1676" s="12">
        <v>0</v>
      </c>
      <c r="J1676" s="12">
        <v>5</v>
      </c>
      <c r="K1676" s="13" t="str">
        <f>HYPERLINK("http://twitter.com/download/android","Twitter for Android")</f>
        <v>Twitter for Android</v>
      </c>
      <c r="L1676" s="12">
        <v>399</v>
      </c>
      <c r="M1676" s="12">
        <v>119</v>
      </c>
      <c r="N1676" s="12">
        <v>3</v>
      </c>
      <c r="O1676" s="14"/>
      <c r="P1676" s="6">
        <v>43024.934791666667</v>
      </c>
      <c r="Q1676" s="11"/>
      <c r="R1676" s="17" t="s">
        <v>5971</v>
      </c>
      <c r="S1676" s="11"/>
      <c r="T1676" s="11"/>
      <c r="U1676" s="10" t="str">
        <f>HYPERLINK("https://pbs.twimg.com/profile_images/1032296142674055169/HJToDVsj.jpg","View")</f>
        <v>View</v>
      </c>
    </row>
    <row r="1677" spans="1:21" ht="61.2">
      <c r="A1677" s="6">
        <v>43439.475069444445</v>
      </c>
      <c r="B1677" s="7" t="str">
        <f>HYPERLINK("https://twitter.com/CARLJOHNSONMAD2","@CARLJOHNSONMAD2")</f>
        <v>@CARLJOHNSONMAD2</v>
      </c>
      <c r="C1677" s="8" t="s">
        <v>5972</v>
      </c>
      <c r="D1677" s="9" t="s">
        <v>5973</v>
      </c>
      <c r="E1677" s="10" t="str">
        <f>HYPERLINK("https://twitter.com/CARLJOHNSONMAD2/status/1070262529945989120","1070262529945989120")</f>
        <v>1070262529945989120</v>
      </c>
      <c r="F1677" s="16" t="s">
        <v>5974</v>
      </c>
      <c r="G1677" s="11"/>
      <c r="H1677" s="11"/>
      <c r="I1677" s="12">
        <v>0</v>
      </c>
      <c r="J1677" s="12">
        <v>0</v>
      </c>
      <c r="K1677" s="13" t="str">
        <f>HYPERLINK("https://mobile.twitter.com","Twitter Lite")</f>
        <v>Twitter Lite</v>
      </c>
      <c r="L1677" s="12">
        <v>139</v>
      </c>
      <c r="M1677" s="12">
        <v>14</v>
      </c>
      <c r="N1677" s="12">
        <v>2</v>
      </c>
      <c r="O1677" s="14"/>
      <c r="P1677" s="6">
        <v>43033.451562499999</v>
      </c>
      <c r="Q1677" s="11"/>
      <c r="R1677" s="18"/>
      <c r="S1677" s="11"/>
      <c r="T1677" s="11"/>
      <c r="U1677" s="10" t="str">
        <f>HYPERLINK("https://pbs.twimg.com/profile_images/972904998764937221/40Yl4xSe.jpg","View")</f>
        <v>View</v>
      </c>
    </row>
    <row r="1678" spans="1:21" ht="102">
      <c r="A1678" s="6">
        <v>43439.475069444445</v>
      </c>
      <c r="B1678" s="7" t="str">
        <f>HYPERLINK("https://twitter.com/Esp_UDE","@Esp_UDE")</f>
        <v>@Esp_UDE</v>
      </c>
      <c r="C1678" s="8" t="s">
        <v>5975</v>
      </c>
      <c r="D1678" s="9" t="s">
        <v>5976</v>
      </c>
      <c r="E1678" s="10" t="str">
        <f>HYPERLINK("https://twitter.com/Esp_UDE/status/1070262529409105920","1070262529409105920")</f>
        <v>1070262529409105920</v>
      </c>
      <c r="F1678" s="15" t="s">
        <v>5977</v>
      </c>
      <c r="G1678" s="11"/>
      <c r="H1678" s="11"/>
      <c r="I1678" s="12">
        <v>9</v>
      </c>
      <c r="J1678" s="12">
        <v>23</v>
      </c>
      <c r="K1678" s="13" t="str">
        <f>HYPERLINK("http://twitter.com/download/android","Twitter for Android")</f>
        <v>Twitter for Android</v>
      </c>
      <c r="L1678" s="12">
        <v>350</v>
      </c>
      <c r="M1678" s="12">
        <v>73</v>
      </c>
      <c r="N1678" s="12">
        <v>2</v>
      </c>
      <c r="O1678" s="14"/>
      <c r="P1678" s="6">
        <v>42396.400150462963</v>
      </c>
      <c r="Q1678" s="15" t="s">
        <v>197</v>
      </c>
      <c r="R1678" s="17" t="s">
        <v>5978</v>
      </c>
      <c r="S1678" s="16" t="s">
        <v>5979</v>
      </c>
      <c r="T1678" s="11"/>
      <c r="U1678" s="10" t="str">
        <f>HYPERLINK("https://pbs.twimg.com/profile_images/708636346554978305/fBY6Fqeo.jpg","View")</f>
        <v>View</v>
      </c>
    </row>
    <row r="1679" spans="1:21" ht="30.6">
      <c r="A1679" s="6">
        <v>43439.474062499998</v>
      </c>
      <c r="B1679" s="7" t="str">
        <f>HYPERLINK("https://twitter.com/elprogramadear","@elprogramadear")</f>
        <v>@elprogramadear</v>
      </c>
      <c r="C1679" s="8" t="s">
        <v>5964</v>
      </c>
      <c r="D1679" s="9" t="s">
        <v>5980</v>
      </c>
      <c r="E1679" s="10" t="str">
        <f>HYPERLINK("https://twitter.com/elprogramadear/status/1070262167197417472","1070262167197417472")</f>
        <v>1070262167197417472</v>
      </c>
      <c r="F1679" s="16" t="s">
        <v>5981</v>
      </c>
      <c r="G1679" s="16" t="s">
        <v>5982</v>
      </c>
      <c r="H1679" s="11"/>
      <c r="I1679" s="12">
        <v>9</v>
      </c>
      <c r="J1679" s="12">
        <v>49</v>
      </c>
      <c r="K1679" s="13" t="str">
        <f>HYPERLINK("https://about.twitter.com/products/tweetdeck","TweetDeck")</f>
        <v>TweetDeck</v>
      </c>
      <c r="L1679" s="12">
        <v>261943</v>
      </c>
      <c r="M1679" s="12">
        <v>425</v>
      </c>
      <c r="N1679" s="12">
        <v>722</v>
      </c>
      <c r="O1679" s="23" t="s">
        <v>89</v>
      </c>
      <c r="P1679" s="6">
        <v>40589.664733796293</v>
      </c>
      <c r="Q1679" s="15" t="s">
        <v>5809</v>
      </c>
      <c r="R1679" s="17" t="s">
        <v>5967</v>
      </c>
      <c r="S1679" s="16" t="s">
        <v>5968</v>
      </c>
      <c r="T1679" s="11"/>
      <c r="U1679" s="10" t="str">
        <f>HYPERLINK("https://pbs.twimg.com/profile_images/1038202480704872448/XwU_Ptt1.jpg","View")</f>
        <v>View</v>
      </c>
    </row>
    <row r="1680" spans="1:21" ht="40.799999999999997">
      <c r="A1680" s="6">
        <v>43439.473321759258</v>
      </c>
      <c r="B1680" s="7" t="str">
        <f>HYPERLINK("https://twitter.com/MariaTabarnia","@MariaTabarnia")</f>
        <v>@MariaTabarnia</v>
      </c>
      <c r="C1680" s="8" t="s">
        <v>139</v>
      </c>
      <c r="D1680" s="9" t="s">
        <v>5983</v>
      </c>
      <c r="E1680" s="10" t="str">
        <f>HYPERLINK("https://twitter.com/MariaTabarnia/status/1070261896308236288","1070261896308236288")</f>
        <v>1070261896308236288</v>
      </c>
      <c r="F1680" s="16" t="s">
        <v>5984</v>
      </c>
      <c r="G1680" s="11"/>
      <c r="H1680" s="11"/>
      <c r="I1680" s="12">
        <v>6</v>
      </c>
      <c r="J1680" s="12">
        <v>15</v>
      </c>
      <c r="K1680" s="13" t="str">
        <f>HYPERLINK("http://twitter.com/#!/download/ipad","Twitter for iPad")</f>
        <v>Twitter for iPad</v>
      </c>
      <c r="L1680" s="12">
        <v>12679</v>
      </c>
      <c r="M1680" s="12">
        <v>13834</v>
      </c>
      <c r="N1680" s="12">
        <v>55</v>
      </c>
      <c r="O1680" s="14"/>
      <c r="P1680" s="6">
        <v>41424.855567129627</v>
      </c>
      <c r="Q1680" s="15" t="s">
        <v>142</v>
      </c>
      <c r="R1680" s="17" t="s">
        <v>143</v>
      </c>
      <c r="S1680" s="11"/>
      <c r="T1680" s="11"/>
      <c r="U1680" s="10" t="str">
        <f>HYPERLINK("https://pbs.twimg.com/profile_images/906661884199391232/L9xcUYsf.jpg","View")</f>
        <v>View</v>
      </c>
    </row>
    <row r="1681" spans="1:21" ht="102">
      <c r="A1681" s="6">
        <v>43439.473090277781</v>
      </c>
      <c r="B1681" s="7" t="str">
        <f>HYPERLINK("https://twitter.com/bruselensewp","@bruselensewp")</f>
        <v>@bruselensewp</v>
      </c>
      <c r="C1681" s="8" t="s">
        <v>3320</v>
      </c>
      <c r="D1681" s="9" t="s">
        <v>5985</v>
      </c>
      <c r="E1681" s="10" t="str">
        <f>HYPERLINK("https://twitter.com/bruselensewp/status/1070261812539596801","1070261812539596801")</f>
        <v>1070261812539596801</v>
      </c>
      <c r="F1681" s="15" t="s">
        <v>5986</v>
      </c>
      <c r="G1681" s="11"/>
      <c r="H1681" s="11"/>
      <c r="I1681" s="12">
        <v>0</v>
      </c>
      <c r="J1681" s="12">
        <v>0</v>
      </c>
      <c r="K1681" s="13" t="str">
        <f>HYPERLINK("http://twitter.com","Twitter Web Client")</f>
        <v>Twitter Web Client</v>
      </c>
      <c r="L1681" s="12">
        <v>150</v>
      </c>
      <c r="M1681" s="12">
        <v>98</v>
      </c>
      <c r="N1681" s="12">
        <v>1</v>
      </c>
      <c r="O1681" s="14"/>
      <c r="P1681" s="6">
        <v>41340.937511574077</v>
      </c>
      <c r="Q1681" s="15" t="s">
        <v>3323</v>
      </c>
      <c r="R1681" s="17" t="s">
        <v>3324</v>
      </c>
      <c r="S1681" s="16" t="s">
        <v>3325</v>
      </c>
      <c r="T1681" s="11"/>
      <c r="U1681" s="10" t="str">
        <f>HYPERLINK("https://pbs.twimg.com/profile_images/3350934277/55bc07c1013ebdec5689f8e31b8adf6c.jpeg","View")</f>
        <v>View</v>
      </c>
    </row>
    <row r="1682" spans="1:21" ht="40.799999999999997">
      <c r="A1682" s="6">
        <v>43439.471562499995</v>
      </c>
      <c r="B1682" s="7" t="str">
        <f>HYPERLINK("https://twitter.com/voxnoticias_es","@voxnoticias_es")</f>
        <v>@voxnoticias_es</v>
      </c>
      <c r="C1682" s="8" t="s">
        <v>4522</v>
      </c>
      <c r="D1682" s="9" t="s">
        <v>5987</v>
      </c>
      <c r="E1682" s="10" t="str">
        <f>HYPERLINK("https://twitter.com/voxnoticias_es/status/1070261258538995712","1070261258538995712")</f>
        <v>1070261258538995712</v>
      </c>
      <c r="F1682" s="11"/>
      <c r="G1682" s="16" t="s">
        <v>4657</v>
      </c>
      <c r="H1682" s="11"/>
      <c r="I1682" s="12">
        <v>188</v>
      </c>
      <c r="J1682" s="12">
        <v>320</v>
      </c>
      <c r="K1682" s="13" t="str">
        <f t="shared" ref="K1682:K1683" si="385">HYPERLINK("http://twitter.com/download/android","Twitter for Android")</f>
        <v>Twitter for Android</v>
      </c>
      <c r="L1682" s="12">
        <v>21631</v>
      </c>
      <c r="M1682" s="12">
        <v>2131</v>
      </c>
      <c r="N1682" s="12">
        <v>145</v>
      </c>
      <c r="O1682" s="14"/>
      <c r="P1682" s="6">
        <v>41687.875428240739</v>
      </c>
      <c r="Q1682" s="15" t="s">
        <v>4524</v>
      </c>
      <c r="R1682" s="17" t="s">
        <v>4525</v>
      </c>
      <c r="S1682" s="16" t="s">
        <v>4526</v>
      </c>
      <c r="T1682" s="11"/>
      <c r="U1682" s="10" t="str">
        <f>HYPERLINK("https://pbs.twimg.com/profile_images/900432165195980801/-2-6PzuU.jpg","View")</f>
        <v>View</v>
      </c>
    </row>
    <row r="1683" spans="1:21" ht="20.399999999999999">
      <c r="A1683" s="6">
        <v>43439.47084490741</v>
      </c>
      <c r="B1683" s="7" t="str">
        <f>HYPERLINK("https://twitter.com/savoy71","@savoy71")</f>
        <v>@savoy71</v>
      </c>
      <c r="C1683" s="8" t="s">
        <v>5988</v>
      </c>
      <c r="D1683" s="9" t="s">
        <v>5989</v>
      </c>
      <c r="E1683" s="10" t="str">
        <f>HYPERLINK("https://twitter.com/savoy71/status/1070261001147293696","1070261001147293696")</f>
        <v>1070261001147293696</v>
      </c>
      <c r="F1683" s="11"/>
      <c r="G1683" s="16" t="s">
        <v>5990</v>
      </c>
      <c r="H1683" s="11"/>
      <c r="I1683" s="12">
        <v>0</v>
      </c>
      <c r="J1683" s="12">
        <v>0</v>
      </c>
      <c r="K1683" s="13" t="str">
        <f t="shared" si="385"/>
        <v>Twitter for Android</v>
      </c>
      <c r="L1683" s="12">
        <v>255</v>
      </c>
      <c r="M1683" s="12">
        <v>1592</v>
      </c>
      <c r="N1683" s="12">
        <v>7</v>
      </c>
      <c r="O1683" s="14"/>
      <c r="P1683" s="6">
        <v>40561.934675925928</v>
      </c>
      <c r="Q1683" s="15" t="s">
        <v>5991</v>
      </c>
      <c r="R1683" s="18"/>
      <c r="S1683" s="11"/>
      <c r="T1683" s="11"/>
      <c r="U1683" s="10" t="str">
        <f>HYPERLINK("https://pbs.twimg.com/profile_images/515836569161596928/9JeSFyjt.jpeg","View")</f>
        <v>View</v>
      </c>
    </row>
    <row r="1684" spans="1:21" ht="51">
      <c r="A1684" s="6">
        <v>43439.470706018517</v>
      </c>
      <c r="B1684" s="7" t="str">
        <f>HYPERLINK("https://twitter.com/SacapuntasEl","@SacapuntasEl")</f>
        <v>@SacapuntasEl</v>
      </c>
      <c r="C1684" s="8" t="s">
        <v>5992</v>
      </c>
      <c r="D1684" s="9" t="s">
        <v>5993</v>
      </c>
      <c r="E1684" s="10" t="str">
        <f>HYPERLINK("https://twitter.com/SacapuntasEl/status/1070260947871252481","1070260947871252481")</f>
        <v>1070260947871252481</v>
      </c>
      <c r="F1684" s="11"/>
      <c r="G1684" s="11"/>
      <c r="H1684" s="11"/>
      <c r="I1684" s="12">
        <v>0</v>
      </c>
      <c r="J1684" s="12">
        <v>0</v>
      </c>
      <c r="K1684" s="13" t="str">
        <f>HYPERLINK("http://twitter.com","Twitter Web Client")</f>
        <v>Twitter Web Client</v>
      </c>
      <c r="L1684" s="12">
        <v>132</v>
      </c>
      <c r="M1684" s="12">
        <v>203</v>
      </c>
      <c r="N1684" s="12">
        <v>2</v>
      </c>
      <c r="O1684" s="14"/>
      <c r="P1684" s="6">
        <v>42499.994710648149</v>
      </c>
      <c r="Q1684" s="15" t="s">
        <v>197</v>
      </c>
      <c r="R1684" s="17" t="s">
        <v>5994</v>
      </c>
      <c r="S1684" s="16" t="s">
        <v>5995</v>
      </c>
      <c r="T1684" s="11"/>
      <c r="U1684" s="10" t="str">
        <f>HYPERLINK("https://pbs.twimg.com/profile_images/729791740866072576/B-LfzSEf.jpg","View")</f>
        <v>View</v>
      </c>
    </row>
    <row r="1685" spans="1:21" ht="40.799999999999997">
      <c r="A1685" s="6">
        <v>43439.470243055555</v>
      </c>
      <c r="B1685" s="7" t="str">
        <f>HYPERLINK("https://twitter.com/zetamacias","@zetamacias")</f>
        <v>@zetamacias</v>
      </c>
      <c r="C1685" s="8" t="s">
        <v>5996</v>
      </c>
      <c r="D1685" s="9" t="s">
        <v>5997</v>
      </c>
      <c r="E1685" s="10" t="str">
        <f>HYPERLINK("https://twitter.com/zetamacias/status/1070260779847430144","1070260779847430144")</f>
        <v>1070260779847430144</v>
      </c>
      <c r="F1685" s="11"/>
      <c r="G1685" s="11"/>
      <c r="H1685" s="11"/>
      <c r="I1685" s="12">
        <v>0</v>
      </c>
      <c r="J1685" s="12">
        <v>3</v>
      </c>
      <c r="K1685" s="13" t="str">
        <f>HYPERLINK("http://twitter.com/download/iphone","Twitter for iPhone")</f>
        <v>Twitter for iPhone</v>
      </c>
      <c r="L1685" s="12">
        <v>769</v>
      </c>
      <c r="M1685" s="12">
        <v>608</v>
      </c>
      <c r="N1685" s="12">
        <v>37</v>
      </c>
      <c r="O1685" s="14"/>
      <c r="P1685" s="6">
        <v>40485.051782407405</v>
      </c>
      <c r="Q1685" s="11"/>
      <c r="R1685" s="17" t="s">
        <v>5998</v>
      </c>
      <c r="S1685" s="11"/>
      <c r="T1685" s="11"/>
      <c r="U1685" s="10" t="str">
        <f>HYPERLINK("https://pbs.twimg.com/profile_images/1051012595212320768/rg03BVv9.jpg","View")</f>
        <v>View</v>
      </c>
    </row>
    <row r="1686" spans="1:21" ht="30.6">
      <c r="A1686" s="6">
        <v>43439.469467592593</v>
      </c>
      <c r="B1686" s="7" t="str">
        <f>HYPERLINK("https://twitter.com/sruizcanino","@sruizcanino")</f>
        <v>@sruizcanino</v>
      </c>
      <c r="C1686" s="8" t="s">
        <v>3233</v>
      </c>
      <c r="D1686" s="9" t="s">
        <v>5999</v>
      </c>
      <c r="E1686" s="10" t="str">
        <f>HYPERLINK("https://twitter.com/sruizcanino/status/1070260499940605952","1070260499940605952")</f>
        <v>1070260499940605952</v>
      </c>
      <c r="F1686" s="11"/>
      <c r="G1686" s="11"/>
      <c r="H1686" s="11"/>
      <c r="I1686" s="12">
        <v>0</v>
      </c>
      <c r="J1686" s="12">
        <v>1</v>
      </c>
      <c r="K1686" s="13" t="str">
        <f>HYPERLINK("http://twitter.com/download/android","Twitter for Android")</f>
        <v>Twitter for Android</v>
      </c>
      <c r="L1686" s="12">
        <v>55</v>
      </c>
      <c r="M1686" s="12">
        <v>60</v>
      </c>
      <c r="N1686" s="12">
        <v>0</v>
      </c>
      <c r="O1686" s="14"/>
      <c r="P1686" s="6">
        <v>41795.057129629626</v>
      </c>
      <c r="Q1686" s="11"/>
      <c r="R1686" s="17" t="s">
        <v>6000</v>
      </c>
      <c r="S1686" s="11"/>
      <c r="T1686" s="11"/>
      <c r="U1686" s="10" t="str">
        <f>HYPERLINK("https://pbs.twimg.com/profile_images/991262496878145538/m8f2Pqfc.jpg","View")</f>
        <v>View</v>
      </c>
    </row>
    <row r="1687" spans="1:21" ht="51">
      <c r="A1687" s="6">
        <v>43439.469421296293</v>
      </c>
      <c r="B1687" s="7" t="str">
        <f>HYPERLINK("https://twitter.com/karlseta_2","@karlseta_2")</f>
        <v>@karlseta_2</v>
      </c>
      <c r="C1687" s="8" t="s">
        <v>1156</v>
      </c>
      <c r="D1687" s="9" t="s">
        <v>6001</v>
      </c>
      <c r="E1687" s="10" t="str">
        <f>HYPERLINK("https://twitter.com/karlseta_2/status/1070260483922558976","1070260483922558976")</f>
        <v>1070260483922558976</v>
      </c>
      <c r="F1687" s="16" t="s">
        <v>6002</v>
      </c>
      <c r="G1687" s="11"/>
      <c r="H1687" s="11"/>
      <c r="I1687" s="12">
        <v>4</v>
      </c>
      <c r="J1687" s="12">
        <v>6</v>
      </c>
      <c r="K1687" s="13" t="str">
        <f>HYPERLINK("http://twitter.com","Twitter Web Client")</f>
        <v>Twitter Web Client</v>
      </c>
      <c r="L1687" s="12">
        <v>1237</v>
      </c>
      <c r="M1687" s="12">
        <v>1135</v>
      </c>
      <c r="N1687" s="12">
        <v>0</v>
      </c>
      <c r="O1687" s="14"/>
      <c r="P1687" s="6">
        <v>43209.593599537038</v>
      </c>
      <c r="Q1687" s="15" t="s">
        <v>1159</v>
      </c>
      <c r="R1687" s="17" t="s">
        <v>1160</v>
      </c>
      <c r="S1687" s="11"/>
      <c r="T1687" s="11"/>
      <c r="U1687" s="10" t="str">
        <f>HYPERLINK("https://pbs.twimg.com/profile_images/1057562733988798464/NVHu_6Bc.jpg","View")</f>
        <v>View</v>
      </c>
    </row>
    <row r="1688" spans="1:21" ht="30.6">
      <c r="A1688" s="6">
        <v>43439.468055555553</v>
      </c>
      <c r="B1688" s="7" t="str">
        <f>HYPERLINK("https://twitter.com/elprogramadear","@elprogramadear")</f>
        <v>@elprogramadear</v>
      </c>
      <c r="C1688" s="8" t="s">
        <v>5964</v>
      </c>
      <c r="D1688" s="9" t="s">
        <v>6003</v>
      </c>
      <c r="E1688" s="10" t="str">
        <f>HYPERLINK("https://twitter.com/elprogramadear/status/1070259987136593920","1070259987136593920")</f>
        <v>1070259987136593920</v>
      </c>
      <c r="F1688" s="16" t="s">
        <v>6004</v>
      </c>
      <c r="G1688" s="16" t="s">
        <v>6005</v>
      </c>
      <c r="H1688" s="11"/>
      <c r="I1688" s="12">
        <v>144</v>
      </c>
      <c r="J1688" s="12">
        <v>324</v>
      </c>
      <c r="K1688" s="13" t="str">
        <f>HYPERLINK("https://about.twitter.com/products/tweetdeck","TweetDeck")</f>
        <v>TweetDeck</v>
      </c>
      <c r="L1688" s="12">
        <v>261943</v>
      </c>
      <c r="M1688" s="12">
        <v>425</v>
      </c>
      <c r="N1688" s="12">
        <v>722</v>
      </c>
      <c r="O1688" s="23" t="s">
        <v>89</v>
      </c>
      <c r="P1688" s="6">
        <v>40589.664733796293</v>
      </c>
      <c r="Q1688" s="15" t="s">
        <v>5809</v>
      </c>
      <c r="R1688" s="17" t="s">
        <v>5967</v>
      </c>
      <c r="S1688" s="16" t="s">
        <v>5968</v>
      </c>
      <c r="T1688" s="11"/>
      <c r="U1688" s="10" t="str">
        <f>HYPERLINK("https://pbs.twimg.com/profile_images/1038202480704872448/XwU_Ptt1.jpg","View")</f>
        <v>View</v>
      </c>
    </row>
    <row r="1689" spans="1:21" ht="40.799999999999997">
      <c r="A1689" s="6">
        <v>43439.467210648145</v>
      </c>
      <c r="B1689" s="7" t="str">
        <f>HYPERLINK("https://twitter.com/monasterioR","@monasterioR")</f>
        <v>@monasterioR</v>
      </c>
      <c r="C1689" s="8" t="s">
        <v>6006</v>
      </c>
      <c r="D1689" s="9" t="s">
        <v>6007</v>
      </c>
      <c r="E1689" s="10" t="str">
        <f>HYPERLINK("https://twitter.com/monasterioR/status/1070259682441355264","1070259682441355264")</f>
        <v>1070259682441355264</v>
      </c>
      <c r="F1689" s="11"/>
      <c r="G1689" s="11"/>
      <c r="H1689" s="11"/>
      <c r="I1689" s="12">
        <v>231</v>
      </c>
      <c r="J1689" s="12">
        <v>573</v>
      </c>
      <c r="K1689" s="13" t="str">
        <f>HYPERLINK("http://twitter.com/download/iphone","Twitter for iPhone")</f>
        <v>Twitter for iPhone</v>
      </c>
      <c r="L1689" s="12">
        <v>37576</v>
      </c>
      <c r="M1689" s="12">
        <v>1815</v>
      </c>
      <c r="N1689" s="12">
        <v>261</v>
      </c>
      <c r="O1689" s="14"/>
      <c r="P1689" s="6">
        <v>41617.998530092591</v>
      </c>
      <c r="Q1689" s="15" t="s">
        <v>197</v>
      </c>
      <c r="R1689" s="17" t="s">
        <v>6008</v>
      </c>
      <c r="S1689" s="11"/>
      <c r="T1689" s="11"/>
      <c r="U1689" s="10" t="str">
        <f>HYPERLINK("https://pbs.twimg.com/profile_images/797412151208116224/wBb1bye0.jpg","View")</f>
        <v>View</v>
      </c>
    </row>
    <row r="1690" spans="1:21" ht="30.6">
      <c r="A1690" s="6">
        <v>43439.466886574075</v>
      </c>
      <c r="B1690" s="7" t="str">
        <f>HYPERLINK("https://twitter.com/faruizd","@faruizd")</f>
        <v>@faruizd</v>
      </c>
      <c r="C1690" s="8" t="s">
        <v>6009</v>
      </c>
      <c r="D1690" s="9" t="s">
        <v>6010</v>
      </c>
      <c r="E1690" s="10" t="str">
        <f>HYPERLINK("https://twitter.com/faruizd/status/1070259563360935936","1070259563360935936")</f>
        <v>1070259563360935936</v>
      </c>
      <c r="F1690" s="11"/>
      <c r="G1690" s="11"/>
      <c r="H1690" s="11"/>
      <c r="I1690" s="12">
        <v>0</v>
      </c>
      <c r="J1690" s="12">
        <v>0</v>
      </c>
      <c r="K1690" s="13" t="str">
        <f t="shared" ref="K1690:K1691" si="386">HYPERLINK("http://twitter.com/download/android","Twitter for Android")</f>
        <v>Twitter for Android</v>
      </c>
      <c r="L1690" s="12">
        <v>552</v>
      </c>
      <c r="M1690" s="12">
        <v>621</v>
      </c>
      <c r="N1690" s="12">
        <v>0</v>
      </c>
      <c r="O1690" s="14"/>
      <c r="P1690" s="6">
        <v>42790.516817129625</v>
      </c>
      <c r="Q1690" s="11"/>
      <c r="R1690" s="17" t="s">
        <v>6011</v>
      </c>
      <c r="S1690" s="11"/>
      <c r="T1690" s="11"/>
      <c r="U1690" s="10" t="str">
        <f>HYPERLINK("https://pbs.twimg.com/profile_images/835091192375291904/jm0FrToM.jpg","View")</f>
        <v>View</v>
      </c>
    </row>
    <row r="1691" spans="1:21" ht="51">
      <c r="A1691" s="6">
        <v>43439.466574074075</v>
      </c>
      <c r="B1691" s="7" t="str">
        <f>HYPERLINK("https://twitter.com/Martamentazione","@Martamentazione")</f>
        <v>@Martamentazione</v>
      </c>
      <c r="C1691" s="8" t="s">
        <v>6012</v>
      </c>
      <c r="D1691" s="9" t="s">
        <v>6013</v>
      </c>
      <c r="E1691" s="10" t="str">
        <f>HYPERLINK("https://twitter.com/Martamentazione/status/1070259452211838976","1070259452211838976")</f>
        <v>1070259452211838976</v>
      </c>
      <c r="F1691" s="15" t="s">
        <v>1001</v>
      </c>
      <c r="G1691" s="16" t="s">
        <v>1002</v>
      </c>
      <c r="H1691" s="11"/>
      <c r="I1691" s="12">
        <v>2</v>
      </c>
      <c r="J1691" s="12">
        <v>1</v>
      </c>
      <c r="K1691" s="13" t="str">
        <f t="shared" si="386"/>
        <v>Twitter for Android</v>
      </c>
      <c r="L1691" s="12">
        <v>488</v>
      </c>
      <c r="M1691" s="12">
        <v>794</v>
      </c>
      <c r="N1691" s="12">
        <v>9</v>
      </c>
      <c r="O1691" s="14"/>
      <c r="P1691" s="6">
        <v>40310.995162037041</v>
      </c>
      <c r="Q1691" s="15" t="s">
        <v>6014</v>
      </c>
      <c r="R1691" s="17" t="s">
        <v>6015</v>
      </c>
      <c r="S1691" s="16" t="s">
        <v>6016</v>
      </c>
      <c r="T1691" s="11"/>
      <c r="U1691" s="10" t="str">
        <f>HYPERLINK("https://pbs.twimg.com/profile_images/743181710678843392/9pzufVHC.jpg","View")</f>
        <v>View</v>
      </c>
    </row>
    <row r="1692" spans="1:21" ht="30.6">
      <c r="A1692" s="6">
        <v>43439.465601851851</v>
      </c>
      <c r="B1692" s="7" t="str">
        <f>HYPERLINK("https://twitter.com/elprogramadear","@elprogramadear")</f>
        <v>@elprogramadear</v>
      </c>
      <c r="C1692" s="8" t="s">
        <v>5964</v>
      </c>
      <c r="D1692" s="9" t="s">
        <v>6017</v>
      </c>
      <c r="E1692" s="10" t="str">
        <f>HYPERLINK("https://twitter.com/elprogramadear/status/1070259099290533888","1070259099290533888")</f>
        <v>1070259099290533888</v>
      </c>
      <c r="F1692" s="16" t="s">
        <v>6018</v>
      </c>
      <c r="G1692" s="16" t="s">
        <v>6019</v>
      </c>
      <c r="H1692" s="11"/>
      <c r="I1692" s="12">
        <v>260</v>
      </c>
      <c r="J1692" s="12">
        <v>585</v>
      </c>
      <c r="K1692" s="13" t="str">
        <f>HYPERLINK("https://about.twitter.com/products/tweetdeck","TweetDeck")</f>
        <v>TweetDeck</v>
      </c>
      <c r="L1692" s="12">
        <v>261943</v>
      </c>
      <c r="M1692" s="12">
        <v>425</v>
      </c>
      <c r="N1692" s="12">
        <v>722</v>
      </c>
      <c r="O1692" s="23" t="s">
        <v>89</v>
      </c>
      <c r="P1692" s="6">
        <v>40589.664733796293</v>
      </c>
      <c r="Q1692" s="15" t="s">
        <v>5809</v>
      </c>
      <c r="R1692" s="17" t="s">
        <v>5967</v>
      </c>
      <c r="S1692" s="16" t="s">
        <v>5968</v>
      </c>
      <c r="T1692" s="11"/>
      <c r="U1692" s="10" t="str">
        <f>HYPERLINK("https://pbs.twimg.com/profile_images/1038202480704872448/XwU_Ptt1.jpg","View")</f>
        <v>View</v>
      </c>
    </row>
    <row r="1693" spans="1:21" ht="61.2">
      <c r="A1693" s="6">
        <v>43439.465104166666</v>
      </c>
      <c r="B1693" s="7" t="str">
        <f>HYPERLINK("https://twitter.com/AsturiVox","@AsturiVox")</f>
        <v>@AsturiVox</v>
      </c>
      <c r="C1693" s="8" t="s">
        <v>553</v>
      </c>
      <c r="D1693" s="9" t="s">
        <v>6020</v>
      </c>
      <c r="E1693" s="10" t="str">
        <f>HYPERLINK("https://twitter.com/AsturiVox/status/1070258919086411776","1070258919086411776")</f>
        <v>1070258919086411776</v>
      </c>
      <c r="F1693" s="11"/>
      <c r="G1693" s="16" t="s">
        <v>6021</v>
      </c>
      <c r="H1693" s="11"/>
      <c r="I1693" s="12">
        <v>0</v>
      </c>
      <c r="J1693" s="12">
        <v>0</v>
      </c>
      <c r="K1693" s="13" t="str">
        <f t="shared" ref="K1693:K1694" si="387">HYPERLINK("http://twitter.com","Twitter Web Client")</f>
        <v>Twitter Web Client</v>
      </c>
      <c r="L1693" s="12">
        <v>8</v>
      </c>
      <c r="M1693" s="12">
        <v>29</v>
      </c>
      <c r="N1693" s="12">
        <v>0</v>
      </c>
      <c r="O1693" s="14"/>
      <c r="P1693" s="6">
        <v>43421.479131944448</v>
      </c>
      <c r="Q1693" s="11"/>
      <c r="R1693" s="17" t="s">
        <v>556</v>
      </c>
      <c r="S1693" s="11"/>
      <c r="T1693" s="11"/>
      <c r="U1693" s="10" t="str">
        <f>HYPERLINK("https://pbs.twimg.com/profile_images/1063771890597183491/kHHA8FKt.jpg","View")</f>
        <v>View</v>
      </c>
    </row>
    <row r="1694" spans="1:21" ht="51">
      <c r="A1694" s="6">
        <v>43439.464768518519</v>
      </c>
      <c r="B1694" s="7" t="str">
        <f>HYPERLINK("https://twitter.com/HartoDelPruces","@HartoDelPruces")</f>
        <v>@HartoDelPruces</v>
      </c>
      <c r="C1694" s="8" t="s">
        <v>6022</v>
      </c>
      <c r="D1694" s="9" t="s">
        <v>6023</v>
      </c>
      <c r="E1694" s="10" t="str">
        <f>HYPERLINK("https://twitter.com/HartoDelPruces/status/1070258796809863168","1070258796809863168")</f>
        <v>1070258796809863168</v>
      </c>
      <c r="F1694" s="16" t="s">
        <v>6024</v>
      </c>
      <c r="G1694" s="11"/>
      <c r="H1694" s="11"/>
      <c r="I1694" s="12">
        <v>0</v>
      </c>
      <c r="J1694" s="12">
        <v>0</v>
      </c>
      <c r="K1694" s="13" t="str">
        <f t="shared" si="387"/>
        <v>Twitter Web Client</v>
      </c>
      <c r="L1694" s="12">
        <v>53</v>
      </c>
      <c r="M1694" s="12">
        <v>168</v>
      </c>
      <c r="N1694" s="12">
        <v>1</v>
      </c>
      <c r="O1694" s="14"/>
      <c r="P1694" s="6">
        <v>40639.941840277781</v>
      </c>
      <c r="Q1694" s="15" t="s">
        <v>6025</v>
      </c>
      <c r="R1694" s="18"/>
      <c r="S1694" s="11"/>
      <c r="T1694" s="11"/>
      <c r="U1694" s="10" t="str">
        <f>HYPERLINK("https://pbs.twimg.com/profile_images/952651121780232194/n_mXRILI.jpg","View")</f>
        <v>View</v>
      </c>
    </row>
    <row r="1695" spans="1:21" ht="71.400000000000006">
      <c r="A1695" s="6">
        <v>43439.464699074073</v>
      </c>
      <c r="B1695" s="7" t="str">
        <f>HYPERLINK("https://twitter.com/dewardom","@dewardom")</f>
        <v>@dewardom</v>
      </c>
      <c r="C1695" s="8" t="s">
        <v>6026</v>
      </c>
      <c r="D1695" s="9" t="s">
        <v>6027</v>
      </c>
      <c r="E1695" s="10" t="str">
        <f>HYPERLINK("https://twitter.com/dewardom/status/1070258773816684545","1070258773816684545")</f>
        <v>1070258773816684545</v>
      </c>
      <c r="F1695" s="15" t="s">
        <v>6028</v>
      </c>
      <c r="G1695" s="16" t="s">
        <v>6029</v>
      </c>
      <c r="H1695" s="11"/>
      <c r="I1695" s="12">
        <v>2</v>
      </c>
      <c r="J1695" s="12">
        <v>1</v>
      </c>
      <c r="K1695" s="13" t="str">
        <f>HYPERLINK("http://twitter.com/download/android","Twitter for Android")</f>
        <v>Twitter for Android</v>
      </c>
      <c r="L1695" s="12">
        <v>48</v>
      </c>
      <c r="M1695" s="12">
        <v>131</v>
      </c>
      <c r="N1695" s="12">
        <v>3</v>
      </c>
      <c r="O1695" s="14"/>
      <c r="P1695" s="6">
        <v>41080.009328703702</v>
      </c>
      <c r="Q1695" s="15" t="s">
        <v>5817</v>
      </c>
      <c r="R1695" s="17" t="s">
        <v>6030</v>
      </c>
      <c r="S1695" s="16" t="s">
        <v>6031</v>
      </c>
      <c r="T1695" s="11"/>
      <c r="U1695" s="10" t="str">
        <f>HYPERLINK("https://pbs.twimg.com/profile_images/802581427686703104/yq-ddb7C.jpg","View")</f>
        <v>View</v>
      </c>
    </row>
    <row r="1696" spans="1:21" ht="20.399999999999999">
      <c r="A1696" s="6">
        <v>43439.464317129634</v>
      </c>
      <c r="B1696" s="7" t="str">
        <f>HYPERLINK("https://twitter.com/periodistadigit","@periodistadigit")</f>
        <v>@periodistadigit</v>
      </c>
      <c r="C1696" s="8" t="s">
        <v>1181</v>
      </c>
      <c r="D1696" s="9" t="s">
        <v>6032</v>
      </c>
      <c r="E1696" s="10" t="str">
        <f>HYPERLINK("https://twitter.com/periodistadigit/status/1070258635492745218","1070258635492745218")</f>
        <v>1070258635492745218</v>
      </c>
      <c r="F1696" s="16" t="s">
        <v>5959</v>
      </c>
      <c r="G1696" s="11"/>
      <c r="H1696" s="11"/>
      <c r="I1696" s="12">
        <v>1</v>
      </c>
      <c r="J1696" s="12">
        <v>4</v>
      </c>
      <c r="K1696" s="13" t="str">
        <f>HYPERLINK("https://about.twitter.com/products/tweetdeck","TweetDeck")</f>
        <v>TweetDeck</v>
      </c>
      <c r="L1696" s="12">
        <v>56221</v>
      </c>
      <c r="M1696" s="12">
        <v>3786</v>
      </c>
      <c r="N1696" s="12">
        <v>1472</v>
      </c>
      <c r="O1696" s="23" t="s">
        <v>89</v>
      </c>
      <c r="P1696" s="6">
        <v>40084.916296296295</v>
      </c>
      <c r="Q1696" s="15" t="s">
        <v>612</v>
      </c>
      <c r="R1696" s="17" t="s">
        <v>1183</v>
      </c>
      <c r="S1696" s="16" t="s">
        <v>1184</v>
      </c>
      <c r="T1696" s="11"/>
      <c r="U1696" s="10" t="str">
        <f>HYPERLINK("https://pbs.twimg.com/profile_images/1913331873/periodista-digital.jpg","View")</f>
        <v>View</v>
      </c>
    </row>
    <row r="1697" spans="1:21" ht="51">
      <c r="A1697" s="6">
        <v>43439.464305555557</v>
      </c>
      <c r="B1697" s="7" t="str">
        <f>HYPERLINK("https://twitter.com/vecinodeorden","@vecinodeorden")</f>
        <v>@vecinodeorden</v>
      </c>
      <c r="C1697" s="8" t="s">
        <v>6033</v>
      </c>
      <c r="D1697" s="9" t="s">
        <v>6034</v>
      </c>
      <c r="E1697" s="10" t="str">
        <f>HYPERLINK("https://twitter.com/vecinodeorden/status/1070258630765764609","1070258630765764609")</f>
        <v>1070258630765764609</v>
      </c>
      <c r="F1697" s="11"/>
      <c r="G1697" s="11"/>
      <c r="H1697" s="11"/>
      <c r="I1697" s="12">
        <v>0</v>
      </c>
      <c r="J1697" s="12">
        <v>0</v>
      </c>
      <c r="K1697" s="13" t="str">
        <f>HYPERLINK("http://twitter.com/#!/download/ipad","Twitter for iPad")</f>
        <v>Twitter for iPad</v>
      </c>
      <c r="L1697" s="12">
        <v>356</v>
      </c>
      <c r="M1697" s="12">
        <v>518</v>
      </c>
      <c r="N1697" s="12">
        <v>11</v>
      </c>
      <c r="O1697" s="14"/>
      <c r="P1697" s="6">
        <v>41893.651273148149</v>
      </c>
      <c r="Q1697" s="15" t="s">
        <v>6035</v>
      </c>
      <c r="R1697" s="17" t="s">
        <v>6036</v>
      </c>
      <c r="S1697" s="11"/>
      <c r="T1697" s="11"/>
      <c r="U1697" s="10" t="str">
        <f>HYPERLINK("https://pbs.twimg.com/profile_images/926037200332099586/KJhWPbYO.jpg","View")</f>
        <v>View</v>
      </c>
    </row>
    <row r="1698" spans="1:21" ht="51">
      <c r="A1698" s="6">
        <v>43439.464120370365</v>
      </c>
      <c r="B1698" s="7" t="str">
        <f>HYPERLINK("https://twitter.com/JBrugos8","@JBrugos8")</f>
        <v>@JBrugos8</v>
      </c>
      <c r="C1698" s="8" t="s">
        <v>6037</v>
      </c>
      <c r="D1698" s="9" t="s">
        <v>6038</v>
      </c>
      <c r="E1698" s="10" t="str">
        <f>HYPERLINK("https://twitter.com/JBrugos8/status/1070258563166150657","1070258563166150657")</f>
        <v>1070258563166150657</v>
      </c>
      <c r="F1698" s="11"/>
      <c r="G1698" s="11"/>
      <c r="H1698" s="11"/>
      <c r="I1698" s="12">
        <v>3</v>
      </c>
      <c r="J1698" s="12">
        <v>6</v>
      </c>
      <c r="K1698" s="13" t="str">
        <f>HYPERLINK("http://twitter.com","Twitter Web Client")</f>
        <v>Twitter Web Client</v>
      </c>
      <c r="L1698" s="12">
        <v>387</v>
      </c>
      <c r="M1698" s="12">
        <v>460</v>
      </c>
      <c r="N1698" s="12">
        <v>7</v>
      </c>
      <c r="O1698" s="14"/>
      <c r="P1698" s="6">
        <v>42736.543356481481</v>
      </c>
      <c r="Q1698" s="15" t="s">
        <v>580</v>
      </c>
      <c r="R1698" s="17" t="s">
        <v>6039</v>
      </c>
      <c r="S1698" s="11"/>
      <c r="T1698" s="11"/>
      <c r="U1698" s="10" t="str">
        <f>HYPERLINK("https://pbs.twimg.com/profile_images/1068605397127315456/f7ep1W2w.jpg","View")</f>
        <v>View</v>
      </c>
    </row>
    <row r="1699" spans="1:21" ht="30.6">
      <c r="A1699" s="6">
        <v>43439.463055555556</v>
      </c>
      <c r="B1699" s="7" t="str">
        <f>HYPERLINK("https://twitter.com/elprogramadear","@elprogramadear")</f>
        <v>@elprogramadear</v>
      </c>
      <c r="C1699" s="8" t="s">
        <v>5964</v>
      </c>
      <c r="D1699" s="9" t="s">
        <v>6040</v>
      </c>
      <c r="E1699" s="10" t="str">
        <f>HYPERLINK("https://twitter.com/elprogramadear/status/1070258176149413888","1070258176149413888")</f>
        <v>1070258176149413888</v>
      </c>
      <c r="F1699" s="16" t="s">
        <v>5075</v>
      </c>
      <c r="G1699" s="16" t="s">
        <v>1002</v>
      </c>
      <c r="H1699" s="11"/>
      <c r="I1699" s="12">
        <v>144</v>
      </c>
      <c r="J1699" s="12">
        <v>306</v>
      </c>
      <c r="K1699" s="13" t="str">
        <f>HYPERLINK("https://about.twitter.com/products/tweetdeck","TweetDeck")</f>
        <v>TweetDeck</v>
      </c>
      <c r="L1699" s="12">
        <v>261943</v>
      </c>
      <c r="M1699" s="12">
        <v>425</v>
      </c>
      <c r="N1699" s="12">
        <v>722</v>
      </c>
      <c r="O1699" s="23" t="s">
        <v>89</v>
      </c>
      <c r="P1699" s="6">
        <v>40589.664733796293</v>
      </c>
      <c r="Q1699" s="15" t="s">
        <v>5809</v>
      </c>
      <c r="R1699" s="17" t="s">
        <v>5967</v>
      </c>
      <c r="S1699" s="16" t="s">
        <v>5968</v>
      </c>
      <c r="T1699" s="11"/>
      <c r="U1699" s="10" t="str">
        <f>HYPERLINK("https://pbs.twimg.com/profile_images/1038202480704872448/XwU_Ptt1.jpg","View")</f>
        <v>View</v>
      </c>
    </row>
    <row r="1700" spans="1:21" ht="51">
      <c r="A1700" s="6">
        <v>43439.462106481486</v>
      </c>
      <c r="B1700" s="7" t="str">
        <f>HYPERLINK("https://twitter.com/JBrugos8","@JBrugos8")</f>
        <v>@JBrugos8</v>
      </c>
      <c r="C1700" s="8" t="s">
        <v>6037</v>
      </c>
      <c r="D1700" s="9" t="s">
        <v>6041</v>
      </c>
      <c r="E1700" s="10" t="str">
        <f>HYPERLINK("https://twitter.com/JBrugos8/status/1070257831104995328","1070257831104995328")</f>
        <v>1070257831104995328</v>
      </c>
      <c r="F1700" s="11"/>
      <c r="G1700" s="11"/>
      <c r="H1700" s="11"/>
      <c r="I1700" s="12">
        <v>0</v>
      </c>
      <c r="J1700" s="12">
        <v>2</v>
      </c>
      <c r="K1700" s="13" t="str">
        <f>HYPERLINK("http://twitter.com","Twitter Web Client")</f>
        <v>Twitter Web Client</v>
      </c>
      <c r="L1700" s="12">
        <v>387</v>
      </c>
      <c r="M1700" s="12">
        <v>460</v>
      </c>
      <c r="N1700" s="12">
        <v>7</v>
      </c>
      <c r="O1700" s="14"/>
      <c r="P1700" s="6">
        <v>42736.543356481481</v>
      </c>
      <c r="Q1700" s="15" t="s">
        <v>580</v>
      </c>
      <c r="R1700" s="17" t="s">
        <v>6039</v>
      </c>
      <c r="S1700" s="11"/>
      <c r="T1700" s="11"/>
      <c r="U1700" s="10" t="str">
        <f>HYPERLINK("https://pbs.twimg.com/profile_images/1068605397127315456/f7ep1W2w.jpg","View")</f>
        <v>View</v>
      </c>
    </row>
    <row r="1701" spans="1:21" ht="30.6">
      <c r="A1701" s="6">
        <v>43439.461712962962</v>
      </c>
      <c r="B1701" s="7" t="str">
        <f>HYPERLINK("https://twitter.com/ximoilicitano14","@ximoilicitano14")</f>
        <v>@ximoilicitano14</v>
      </c>
      <c r="C1701" s="8" t="s">
        <v>1914</v>
      </c>
      <c r="D1701" s="9" t="s">
        <v>6042</v>
      </c>
      <c r="E1701" s="10" t="str">
        <f>HYPERLINK("https://twitter.com/ximoilicitano14/status/1070257690851590144","1070257690851590144")</f>
        <v>1070257690851590144</v>
      </c>
      <c r="F1701" s="11"/>
      <c r="G1701" s="16" t="s">
        <v>6043</v>
      </c>
      <c r="H1701" s="11"/>
      <c r="I1701" s="12">
        <v>0</v>
      </c>
      <c r="J1701" s="12">
        <v>0</v>
      </c>
      <c r="K1701" s="13" t="str">
        <f>HYPERLINK("http://twitter.com/download/android","Twitter for Android")</f>
        <v>Twitter for Android</v>
      </c>
      <c r="L1701" s="12">
        <v>811</v>
      </c>
      <c r="M1701" s="12">
        <v>1053</v>
      </c>
      <c r="N1701" s="12">
        <v>8</v>
      </c>
      <c r="O1701" s="14"/>
      <c r="P1701" s="6">
        <v>41955.035405092596</v>
      </c>
      <c r="Q1701" s="11"/>
      <c r="R1701" s="17" t="s">
        <v>1917</v>
      </c>
      <c r="S1701" s="16" t="s">
        <v>1918</v>
      </c>
      <c r="T1701" s="11"/>
      <c r="U1701" s="10" t="str">
        <f>HYPERLINK("https://pbs.twimg.com/profile_images/1025622799283630080/BeM9PIam.jpg","View")</f>
        <v>View</v>
      </c>
    </row>
    <row r="1702" spans="1:21" ht="30.6">
      <c r="A1702" s="6">
        <v>43439.461111111115</v>
      </c>
      <c r="B1702" s="7" t="str">
        <f>HYPERLINK("https://twitter.com/MentonAmericano","@MentonAmericano")</f>
        <v>@MentonAmericano</v>
      </c>
      <c r="C1702" s="8" t="s">
        <v>4025</v>
      </c>
      <c r="D1702" s="9" t="s">
        <v>6044</v>
      </c>
      <c r="E1702" s="10" t="str">
        <f>HYPERLINK("https://twitter.com/MentonAmericano/status/1070257470759686145","1070257470759686145")</f>
        <v>1070257470759686145</v>
      </c>
      <c r="F1702" s="11"/>
      <c r="G1702" s="16" t="s">
        <v>6045</v>
      </c>
      <c r="H1702" s="11"/>
      <c r="I1702" s="12">
        <v>1</v>
      </c>
      <c r="J1702" s="12">
        <v>0</v>
      </c>
      <c r="K1702" s="13" t="str">
        <f>HYPERLINK("http://twitter.com","Twitter Web Client")</f>
        <v>Twitter Web Client</v>
      </c>
      <c r="L1702" s="12">
        <v>44</v>
      </c>
      <c r="M1702" s="12">
        <v>169</v>
      </c>
      <c r="N1702" s="12">
        <v>0</v>
      </c>
      <c r="O1702" s="14"/>
      <c r="P1702" s="6">
        <v>43320.738217592589</v>
      </c>
      <c r="Q1702" s="11"/>
      <c r="R1702" s="18"/>
      <c r="S1702" s="11"/>
      <c r="T1702" s="11"/>
      <c r="U1702" s="10" t="str">
        <f>HYPERLINK("https://pbs.twimg.com/profile_images/1058015464901824512/2dKN1XX1.jpg","View")</f>
        <v>View</v>
      </c>
    </row>
    <row r="1703" spans="1:21" ht="51">
      <c r="A1703" s="6">
        <v>43439.461076388892</v>
      </c>
      <c r="B1703" s="7" t="str">
        <f>HYPERLINK("https://twitter.com/edipombo1","@edipombo1")</f>
        <v>@edipombo1</v>
      </c>
      <c r="C1703" s="8" t="s">
        <v>6046</v>
      </c>
      <c r="D1703" s="9" t="s">
        <v>6047</v>
      </c>
      <c r="E1703" s="10" t="str">
        <f>HYPERLINK("https://twitter.com/edipombo1/status/1070257459179200512","1070257459179200512")</f>
        <v>1070257459179200512</v>
      </c>
      <c r="F1703" s="11"/>
      <c r="G1703" s="11"/>
      <c r="H1703" s="11"/>
      <c r="I1703" s="12">
        <v>0</v>
      </c>
      <c r="J1703" s="12">
        <v>0</v>
      </c>
      <c r="K1703" s="13" t="str">
        <f>HYPERLINK("http://twitter.com/download/android","Twitter for Android")</f>
        <v>Twitter for Android</v>
      </c>
      <c r="L1703" s="12">
        <v>1271</v>
      </c>
      <c r="M1703" s="12">
        <v>1224</v>
      </c>
      <c r="N1703" s="12">
        <v>13</v>
      </c>
      <c r="O1703" s="14"/>
      <c r="P1703" s="6">
        <v>40814.969074074077</v>
      </c>
      <c r="Q1703" s="15" t="s">
        <v>5130</v>
      </c>
      <c r="R1703" s="17" t="s">
        <v>6048</v>
      </c>
      <c r="S1703" s="11"/>
      <c r="T1703" s="11"/>
      <c r="U1703" s="10" t="str">
        <f>HYPERLINK("https://pbs.twimg.com/profile_images/2566080072/foto_20twitter.jpg","View")</f>
        <v>View</v>
      </c>
    </row>
    <row r="1704" spans="1:21" ht="51">
      <c r="A1704" s="6">
        <v>43439.459722222222</v>
      </c>
      <c r="B1704" s="7" t="str">
        <f>HYPERLINK("https://twitter.com/bitMomentum","@bitMomentum")</f>
        <v>@bitMomentum</v>
      </c>
      <c r="C1704" s="8" t="s">
        <v>82</v>
      </c>
      <c r="D1704" s="9" t="s">
        <v>6049</v>
      </c>
      <c r="E1704" s="10" t="str">
        <f>HYPERLINK("https://twitter.com/bitMomentum/status/1070256967648722945","1070256967648722945")</f>
        <v>1070256967648722945</v>
      </c>
      <c r="F1704" s="11"/>
      <c r="G1704" s="11"/>
      <c r="H1704" s="11"/>
      <c r="I1704" s="12">
        <v>0</v>
      </c>
      <c r="J1704" s="12">
        <v>0</v>
      </c>
      <c r="K1704" s="13" t="str">
        <f>HYPERLINK("http://www.bitmomentum.com","bitMomentum Bot")</f>
        <v>bitMomentum Bot</v>
      </c>
      <c r="L1704" s="12">
        <v>10253</v>
      </c>
      <c r="M1704" s="12">
        <v>1059</v>
      </c>
      <c r="N1704" s="12">
        <v>263</v>
      </c>
      <c r="O1704" s="14"/>
      <c r="P1704" s="6">
        <v>41608.667511574073</v>
      </c>
      <c r="Q1704" s="11"/>
      <c r="R1704" s="17" t="s">
        <v>84</v>
      </c>
      <c r="S1704" s="16" t="s">
        <v>85</v>
      </c>
      <c r="T1704" s="11"/>
      <c r="U1704" s="10" t="str">
        <f>HYPERLINK("https://pbs.twimg.com/profile_images/378800000862185241/20ij2H3u.png","View")</f>
        <v>View</v>
      </c>
    </row>
    <row r="1705" spans="1:21" ht="40.799999999999997">
      <c r="A1705" s="6">
        <v>43439.459351851852</v>
      </c>
      <c r="B1705" s="7" t="str">
        <f>HYPERLINK("https://twitter.com/ximoilicitano14","@ximoilicitano14")</f>
        <v>@ximoilicitano14</v>
      </c>
      <c r="C1705" s="8" t="s">
        <v>1914</v>
      </c>
      <c r="D1705" s="9" t="s">
        <v>6050</v>
      </c>
      <c r="E1705" s="10" t="str">
        <f>HYPERLINK("https://twitter.com/ximoilicitano14/status/1070256834882273280","1070256834882273280")</f>
        <v>1070256834882273280</v>
      </c>
      <c r="F1705" s="11"/>
      <c r="G1705" s="16" t="s">
        <v>6051</v>
      </c>
      <c r="H1705" s="11"/>
      <c r="I1705" s="12">
        <v>0</v>
      </c>
      <c r="J1705" s="12">
        <v>0</v>
      </c>
      <c r="K1705" s="13" t="str">
        <f>HYPERLINK("http://twitter.com/download/android","Twitter for Android")</f>
        <v>Twitter for Android</v>
      </c>
      <c r="L1705" s="12">
        <v>811</v>
      </c>
      <c r="M1705" s="12">
        <v>1053</v>
      </c>
      <c r="N1705" s="12">
        <v>8</v>
      </c>
      <c r="O1705" s="14"/>
      <c r="P1705" s="6">
        <v>41955.035405092596</v>
      </c>
      <c r="Q1705" s="11"/>
      <c r="R1705" s="17" t="s">
        <v>1917</v>
      </c>
      <c r="S1705" s="16" t="s">
        <v>1918</v>
      </c>
      <c r="T1705" s="11"/>
      <c r="U1705" s="10" t="str">
        <f>HYPERLINK("https://pbs.twimg.com/profile_images/1025622799283630080/BeM9PIam.jpg","View")</f>
        <v>View</v>
      </c>
    </row>
    <row r="1706" spans="1:21" ht="51">
      <c r="A1706" s="6">
        <v>43439.459027777775</v>
      </c>
      <c r="B1706" s="7" t="str">
        <f>HYPERLINK("https://twitter.com/bitMomentum","@bitMomentum")</f>
        <v>@bitMomentum</v>
      </c>
      <c r="C1706" s="8" t="s">
        <v>82</v>
      </c>
      <c r="D1706" s="9" t="s">
        <v>6052</v>
      </c>
      <c r="E1706" s="10" t="str">
        <f>HYPERLINK("https://twitter.com/bitMomentum/status/1070256715889807360","1070256715889807360")</f>
        <v>1070256715889807360</v>
      </c>
      <c r="F1706" s="11"/>
      <c r="G1706" s="11"/>
      <c r="H1706" s="11"/>
      <c r="I1706" s="12">
        <v>0</v>
      </c>
      <c r="J1706" s="12">
        <v>0</v>
      </c>
      <c r="K1706" s="13" t="str">
        <f>HYPERLINK("http://www.bitmomentum.com","bitMomentum Bot")</f>
        <v>bitMomentum Bot</v>
      </c>
      <c r="L1706" s="12">
        <v>10253</v>
      </c>
      <c r="M1706" s="12">
        <v>1059</v>
      </c>
      <c r="N1706" s="12">
        <v>263</v>
      </c>
      <c r="O1706" s="14"/>
      <c r="P1706" s="6">
        <v>41608.667511574073</v>
      </c>
      <c r="Q1706" s="11"/>
      <c r="R1706" s="17" t="s">
        <v>84</v>
      </c>
      <c r="S1706" s="16" t="s">
        <v>85</v>
      </c>
      <c r="T1706" s="11"/>
      <c r="U1706" s="10" t="str">
        <f>HYPERLINK("https://pbs.twimg.com/profile_images/378800000862185241/20ij2H3u.png","View")</f>
        <v>View</v>
      </c>
    </row>
    <row r="1707" spans="1:21" ht="30.6">
      <c r="A1707" s="6">
        <v>43439.458194444444</v>
      </c>
      <c r="B1707" s="7" t="str">
        <f>HYPERLINK("https://twitter.com/JosepLCardo","@JosepLCardo")</f>
        <v>@JosepLCardo</v>
      </c>
      <c r="C1707" s="8" t="s">
        <v>6053</v>
      </c>
      <c r="D1707" s="9" t="s">
        <v>6054</v>
      </c>
      <c r="E1707" s="10" t="str">
        <f>HYPERLINK("https://twitter.com/JosepLCardo/status/1070256413933531138","1070256413933531138")</f>
        <v>1070256413933531138</v>
      </c>
      <c r="F1707" s="11"/>
      <c r="G1707" s="11"/>
      <c r="H1707" s="11"/>
      <c r="I1707" s="12">
        <v>2</v>
      </c>
      <c r="J1707" s="12">
        <v>3</v>
      </c>
      <c r="K1707" s="13" t="str">
        <f t="shared" ref="K1707:K1708" si="388">HYPERLINK("http://twitter.com/download/android","Twitter for Android")</f>
        <v>Twitter for Android</v>
      </c>
      <c r="L1707" s="12">
        <v>500</v>
      </c>
      <c r="M1707" s="12">
        <v>2044</v>
      </c>
      <c r="N1707" s="12">
        <v>6</v>
      </c>
      <c r="O1707" s="14"/>
      <c r="P1707" s="6">
        <v>40706.83699074074</v>
      </c>
      <c r="Q1707" s="15" t="s">
        <v>6055</v>
      </c>
      <c r="R1707" s="17" t="s">
        <v>6056</v>
      </c>
      <c r="S1707" s="16" t="s">
        <v>6057</v>
      </c>
      <c r="T1707" s="11"/>
      <c r="U1707" s="10" t="str">
        <f>HYPERLINK("https://pbs.twimg.com/profile_images/1064444034477895680/2b9j2aNN.jpg","View")</f>
        <v>View</v>
      </c>
    </row>
    <row r="1708" spans="1:21" ht="20.399999999999999">
      <c r="A1708" s="6">
        <v>43439.457245370373</v>
      </c>
      <c r="B1708" s="7" t="str">
        <f>HYPERLINK("https://twitter.com/gallifantas","@gallifantas")</f>
        <v>@gallifantas</v>
      </c>
      <c r="C1708" s="8" t="s">
        <v>6058</v>
      </c>
      <c r="D1708" s="9" t="s">
        <v>6059</v>
      </c>
      <c r="E1708" s="10" t="str">
        <f>HYPERLINK("https://twitter.com/gallifantas/status/1070256069874761729","1070256069874761729")</f>
        <v>1070256069874761729</v>
      </c>
      <c r="F1708" s="11"/>
      <c r="G1708" s="11"/>
      <c r="H1708" s="11"/>
      <c r="I1708" s="12">
        <v>0</v>
      </c>
      <c r="J1708" s="12">
        <v>1</v>
      </c>
      <c r="K1708" s="13" t="str">
        <f t="shared" si="388"/>
        <v>Twitter for Android</v>
      </c>
      <c r="L1708" s="12">
        <v>328</v>
      </c>
      <c r="M1708" s="12">
        <v>437</v>
      </c>
      <c r="N1708" s="12">
        <v>6</v>
      </c>
      <c r="O1708" s="14"/>
      <c r="P1708" s="6">
        <v>41011.69636574074</v>
      </c>
      <c r="Q1708" s="15" t="s">
        <v>6060</v>
      </c>
      <c r="R1708" s="17" t="s">
        <v>6061</v>
      </c>
      <c r="S1708" s="11"/>
      <c r="T1708" s="11"/>
      <c r="U1708" s="10" t="str">
        <f>HYPERLINK("https://pbs.twimg.com/profile_images/996837354219417602/Srczm911.jpg","View")</f>
        <v>View</v>
      </c>
    </row>
    <row r="1709" spans="1:21" ht="30.6">
      <c r="A1709" s="6">
        <v>43439.456423611111</v>
      </c>
      <c r="B1709" s="7" t="str">
        <f>HYPERLINK("https://twitter.com/CasoAislado_Es","@CasoAislado_Es")</f>
        <v>@CasoAislado_Es</v>
      </c>
      <c r="C1709" s="8" t="s">
        <v>951</v>
      </c>
      <c r="D1709" s="9" t="s">
        <v>6062</v>
      </c>
      <c r="E1709" s="10" t="str">
        <f>HYPERLINK("https://twitter.com/CasoAislado_Es/status/1070255772184076288","1070255772184076288")</f>
        <v>1070255772184076288</v>
      </c>
      <c r="F1709" s="16" t="s">
        <v>6063</v>
      </c>
      <c r="G1709" s="11"/>
      <c r="H1709" s="11"/>
      <c r="I1709" s="12">
        <v>36</v>
      </c>
      <c r="J1709" s="12">
        <v>67</v>
      </c>
      <c r="K1709" s="13" t="str">
        <f>HYPERLINK("http://twitter.com","Twitter Web Client")</f>
        <v>Twitter Web Client</v>
      </c>
      <c r="L1709" s="12">
        <v>21476</v>
      </c>
      <c r="M1709" s="12">
        <v>6353</v>
      </c>
      <c r="N1709" s="12">
        <v>153</v>
      </c>
      <c r="O1709" s="14"/>
      <c r="P1709" s="6">
        <v>40257.560439814813</v>
      </c>
      <c r="Q1709" s="15" t="s">
        <v>954</v>
      </c>
      <c r="R1709" s="17" t="s">
        <v>955</v>
      </c>
      <c r="S1709" s="16" t="s">
        <v>956</v>
      </c>
      <c r="T1709" s="11"/>
      <c r="U1709" s="10" t="str">
        <f>HYPERLINK("https://pbs.twimg.com/profile_images/818503412702707713/QK1J8CEn.jpg","View")</f>
        <v>View</v>
      </c>
    </row>
    <row r="1710" spans="1:21" ht="30.6">
      <c r="A1710" s="6">
        <v>43439.455925925926</v>
      </c>
      <c r="B1710" s="7" t="str">
        <f>HYPERLINK("https://twitter.com/elprogramadear","@elprogramadear")</f>
        <v>@elprogramadear</v>
      </c>
      <c r="C1710" s="8" t="s">
        <v>5964</v>
      </c>
      <c r="D1710" s="9" t="s">
        <v>6064</v>
      </c>
      <c r="E1710" s="10" t="str">
        <f>HYPERLINK("https://twitter.com/elprogramadear/status/1070255592231628800","1070255592231628800")</f>
        <v>1070255592231628800</v>
      </c>
      <c r="F1710" s="16" t="s">
        <v>5807</v>
      </c>
      <c r="G1710" s="16" t="s">
        <v>6065</v>
      </c>
      <c r="H1710" s="11"/>
      <c r="I1710" s="12">
        <v>394</v>
      </c>
      <c r="J1710" s="12">
        <v>887</v>
      </c>
      <c r="K1710" s="13" t="str">
        <f>HYPERLINK("https://about.twitter.com/products/tweetdeck","TweetDeck")</f>
        <v>TweetDeck</v>
      </c>
      <c r="L1710" s="12">
        <v>261943</v>
      </c>
      <c r="M1710" s="12">
        <v>425</v>
      </c>
      <c r="N1710" s="12">
        <v>722</v>
      </c>
      <c r="O1710" s="23" t="s">
        <v>89</v>
      </c>
      <c r="P1710" s="6">
        <v>40589.664733796293</v>
      </c>
      <c r="Q1710" s="15" t="s">
        <v>5809</v>
      </c>
      <c r="R1710" s="17" t="s">
        <v>5967</v>
      </c>
      <c r="S1710" s="16" t="s">
        <v>5968</v>
      </c>
      <c r="T1710" s="11"/>
      <c r="U1710" s="10" t="str">
        <f>HYPERLINK("https://pbs.twimg.com/profile_images/1038202480704872448/XwU_Ptt1.jpg","View")</f>
        <v>View</v>
      </c>
    </row>
    <row r="1711" spans="1:21" ht="71.400000000000006">
      <c r="A1711" s="6">
        <v>43439.454664351855</v>
      </c>
      <c r="B1711" s="7" t="str">
        <f>HYPERLINK("https://twitter.com/alejandra52","@alejandra52")</f>
        <v>@alejandra52</v>
      </c>
      <c r="C1711" s="8" t="s">
        <v>6066</v>
      </c>
      <c r="D1711" s="9" t="s">
        <v>6067</v>
      </c>
      <c r="E1711" s="10" t="str">
        <f>HYPERLINK("https://twitter.com/alejandra52/status/1070255137090871296","1070255137090871296")</f>
        <v>1070255137090871296</v>
      </c>
      <c r="F1711" s="15" t="s">
        <v>6068</v>
      </c>
      <c r="G1711" s="11"/>
      <c r="H1711" s="11"/>
      <c r="I1711" s="12">
        <v>0</v>
      </c>
      <c r="J1711" s="12">
        <v>0</v>
      </c>
      <c r="K1711" s="13" t="str">
        <f t="shared" ref="K1711:K1712" si="389">HYPERLINK("http://twitter.com/download/android","Twitter for Android")</f>
        <v>Twitter for Android</v>
      </c>
      <c r="L1711" s="12">
        <v>3710</v>
      </c>
      <c r="M1711" s="12">
        <v>3762</v>
      </c>
      <c r="N1711" s="12">
        <v>53</v>
      </c>
      <c r="O1711" s="14"/>
      <c r="P1711" s="6">
        <v>40303.734606481477</v>
      </c>
      <c r="Q1711" s="15" t="s">
        <v>841</v>
      </c>
      <c r="R1711" s="17" t="s">
        <v>6069</v>
      </c>
      <c r="S1711" s="11"/>
      <c r="T1711" s="11"/>
      <c r="U1711" s="10" t="str">
        <f>HYPERLINK("https://pbs.twimg.com/profile_images/1042413787041746954/LOuu9CvM.jpg","View")</f>
        <v>View</v>
      </c>
    </row>
    <row r="1712" spans="1:21" ht="30.6">
      <c r="A1712" s="6">
        <v>43439.453449074077</v>
      </c>
      <c r="B1712" s="7" t="str">
        <f>HYPERLINK("https://twitter.com/JosGOSALBEZ1","@JosGOSALBEZ1")</f>
        <v>@JosGOSALBEZ1</v>
      </c>
      <c r="C1712" s="8" t="s">
        <v>6070</v>
      </c>
      <c r="D1712" s="9" t="s">
        <v>6071</v>
      </c>
      <c r="E1712" s="10" t="str">
        <f>HYPERLINK("https://twitter.com/JosGOSALBEZ1/status/1070254694134628352","1070254694134628352")</f>
        <v>1070254694134628352</v>
      </c>
      <c r="F1712" s="16" t="s">
        <v>6072</v>
      </c>
      <c r="G1712" s="11"/>
      <c r="H1712" s="11"/>
      <c r="I1712" s="12">
        <v>2</v>
      </c>
      <c r="J1712" s="12">
        <v>1</v>
      </c>
      <c r="K1712" s="13" t="str">
        <f t="shared" si="389"/>
        <v>Twitter for Android</v>
      </c>
      <c r="L1712" s="12">
        <v>77</v>
      </c>
      <c r="M1712" s="12">
        <v>43</v>
      </c>
      <c r="N1712" s="12">
        <v>0</v>
      </c>
      <c r="O1712" s="14"/>
      <c r="P1712" s="6">
        <v>43380.871759259258</v>
      </c>
      <c r="Q1712" s="11"/>
      <c r="R1712" s="17" t="s">
        <v>6073</v>
      </c>
      <c r="S1712" s="11"/>
      <c r="T1712" s="11"/>
      <c r="U1712" s="10" t="str">
        <f>HYPERLINK("https://pbs.twimg.com/profile_images/1049320152691556355/-BVmVU_Q.jpg","View")</f>
        <v>View</v>
      </c>
    </row>
    <row r="1713" spans="1:21" ht="30.6">
      <c r="A1713" s="6">
        <v>43439.453159722223</v>
      </c>
      <c r="B1713" s="7" t="str">
        <f>HYPERLINK("https://twitter.com/eduardoosborneb","@eduardoosborneb")</f>
        <v>@eduardoosborneb</v>
      </c>
      <c r="C1713" s="8" t="s">
        <v>6074</v>
      </c>
      <c r="D1713" s="9" t="s">
        <v>6075</v>
      </c>
      <c r="E1713" s="10" t="str">
        <f>HYPERLINK("https://twitter.com/eduardoosborneb/status/1070254589268635648","1070254589268635648")</f>
        <v>1070254589268635648</v>
      </c>
      <c r="F1713" s="16" t="s">
        <v>6076</v>
      </c>
      <c r="G1713" s="11"/>
      <c r="H1713" s="11"/>
      <c r="I1713" s="12">
        <v>6</v>
      </c>
      <c r="J1713" s="12">
        <v>10</v>
      </c>
      <c r="K1713" s="13" t="str">
        <f t="shared" ref="K1713:K1714" si="390">HYPERLINK("http://twitter.com","Twitter Web Client")</f>
        <v>Twitter Web Client</v>
      </c>
      <c r="L1713" s="12">
        <v>242</v>
      </c>
      <c r="M1713" s="12">
        <v>162</v>
      </c>
      <c r="N1713" s="12">
        <v>5</v>
      </c>
      <c r="O1713" s="14"/>
      <c r="P1713" s="6">
        <v>41250.815011574072</v>
      </c>
      <c r="Q1713" s="11"/>
      <c r="R1713" s="18"/>
      <c r="S1713" s="11"/>
      <c r="T1713" s="11"/>
      <c r="U1713" s="10" t="str">
        <f>HYPERLINK("https://pbs.twimg.com/profile_images/439483279054344192/iGd9WG-I.jpeg","View")</f>
        <v>View</v>
      </c>
    </row>
    <row r="1714" spans="1:21" ht="20.399999999999999">
      <c r="A1714" s="6">
        <v>43439.453090277777</v>
      </c>
      <c r="B1714" s="7" t="str">
        <f>HYPERLINK("https://twitter.com/GenPaez1790","@GenPaez1790")</f>
        <v>@GenPaez1790</v>
      </c>
      <c r="C1714" s="8" t="s">
        <v>6077</v>
      </c>
      <c r="D1714" s="9" t="s">
        <v>6078</v>
      </c>
      <c r="E1714" s="10" t="str">
        <f>HYPERLINK("https://twitter.com/GenPaez1790/status/1070254567403732992","1070254567403732992")</f>
        <v>1070254567403732992</v>
      </c>
      <c r="F1714" s="11"/>
      <c r="G1714" s="16" t="s">
        <v>6079</v>
      </c>
      <c r="H1714" s="11"/>
      <c r="I1714" s="12">
        <v>0</v>
      </c>
      <c r="J1714" s="12">
        <v>0</v>
      </c>
      <c r="K1714" s="13" t="str">
        <f t="shared" si="390"/>
        <v>Twitter Web Client</v>
      </c>
      <c r="L1714" s="12">
        <v>1259</v>
      </c>
      <c r="M1714" s="12">
        <v>342</v>
      </c>
      <c r="N1714" s="12">
        <v>7</v>
      </c>
      <c r="O1714" s="14"/>
      <c r="P1714" s="6">
        <v>40790.710648148146</v>
      </c>
      <c r="Q1714" s="11"/>
      <c r="R1714" s="17" t="s">
        <v>6080</v>
      </c>
      <c r="S1714" s="11"/>
      <c r="T1714" s="11"/>
      <c r="U1714" s="10" t="str">
        <f>HYPERLINK("https://pbs.twimg.com/profile_images/1528231916/General_en_Jefe_Jos__Antonio_P_ez.jpg","View")</f>
        <v>View</v>
      </c>
    </row>
    <row r="1715" spans="1:21" ht="30.6">
      <c r="A1715" s="6">
        <v>43439.452835648146</v>
      </c>
      <c r="B1715" s="7" t="str">
        <f>HYPERLINK("https://twitter.com/EstherYsern","@EstherYsern")</f>
        <v>@EstherYsern</v>
      </c>
      <c r="C1715" s="8" t="s">
        <v>6081</v>
      </c>
      <c r="D1715" s="9" t="s">
        <v>6082</v>
      </c>
      <c r="E1715" s="10" t="str">
        <f>HYPERLINK("https://twitter.com/EstherYsern/status/1070254473266769920","1070254473266769920")</f>
        <v>1070254473266769920</v>
      </c>
      <c r="F1715" s="11"/>
      <c r="G1715" s="16" t="s">
        <v>6083</v>
      </c>
      <c r="H1715" s="11"/>
      <c r="I1715" s="12">
        <v>0</v>
      </c>
      <c r="J1715" s="12">
        <v>0</v>
      </c>
      <c r="K1715" s="13" t="str">
        <f>HYPERLINK("http://twitter.com/download/android","Twitter for Android")</f>
        <v>Twitter for Android</v>
      </c>
      <c r="L1715" s="12">
        <v>105</v>
      </c>
      <c r="M1715" s="12">
        <v>38</v>
      </c>
      <c r="N1715" s="12">
        <v>7</v>
      </c>
      <c r="O1715" s="14"/>
      <c r="P1715" s="6">
        <v>41018.501296296294</v>
      </c>
      <c r="Q1715" s="15" t="s">
        <v>197</v>
      </c>
      <c r="R1715" s="17" t="s">
        <v>6084</v>
      </c>
      <c r="S1715" s="11"/>
      <c r="T1715" s="11"/>
      <c r="U1715" s="10" t="str">
        <f>HYPERLINK("https://pbs.twimg.com/profile_images/811892610717675520/k494hPO5.jpg","View")</f>
        <v>View</v>
      </c>
    </row>
    <row r="1716" spans="1:21" ht="30.6">
      <c r="A1716" s="6">
        <v>43439.452777777777</v>
      </c>
      <c r="B1716" s="7" t="str">
        <f>HYPERLINK("https://twitter.com/elprogramadear","@elprogramadear")</f>
        <v>@elprogramadear</v>
      </c>
      <c r="C1716" s="8" t="s">
        <v>5964</v>
      </c>
      <c r="D1716" s="9" t="s">
        <v>6085</v>
      </c>
      <c r="E1716" s="10" t="str">
        <f>HYPERLINK("https://twitter.com/elprogramadear/status/1070254452039393280","1070254452039393280")</f>
        <v>1070254452039393280</v>
      </c>
      <c r="F1716" s="16" t="s">
        <v>6086</v>
      </c>
      <c r="G1716" s="16" t="s">
        <v>6087</v>
      </c>
      <c r="H1716" s="11"/>
      <c r="I1716" s="12">
        <v>97</v>
      </c>
      <c r="J1716" s="12">
        <v>194</v>
      </c>
      <c r="K1716" s="13" t="str">
        <f>HYPERLINK("https://about.twitter.com/products/tweetdeck","TweetDeck")</f>
        <v>TweetDeck</v>
      </c>
      <c r="L1716" s="12">
        <v>261943</v>
      </c>
      <c r="M1716" s="12">
        <v>425</v>
      </c>
      <c r="N1716" s="12">
        <v>722</v>
      </c>
      <c r="O1716" s="23" t="s">
        <v>89</v>
      </c>
      <c r="P1716" s="6">
        <v>40589.664733796293</v>
      </c>
      <c r="Q1716" s="15" t="s">
        <v>5809</v>
      </c>
      <c r="R1716" s="17" t="s">
        <v>5967</v>
      </c>
      <c r="S1716" s="16" t="s">
        <v>5968</v>
      </c>
      <c r="T1716" s="11"/>
      <c r="U1716" s="10" t="str">
        <f>HYPERLINK("https://pbs.twimg.com/profile_images/1038202480704872448/XwU_Ptt1.jpg","View")</f>
        <v>View</v>
      </c>
    </row>
    <row r="1717" spans="1:21" ht="40.799999999999997">
      <c r="A1717" s="6">
        <v>43439.451087962967</v>
      </c>
      <c r="B1717" s="7" t="str">
        <f>HYPERLINK("https://twitter.com/AlbertoSBlanco","@AlbertoSBlanco")</f>
        <v>@AlbertoSBlanco</v>
      </c>
      <c r="C1717" s="8" t="s">
        <v>1127</v>
      </c>
      <c r="D1717" s="9" t="s">
        <v>6088</v>
      </c>
      <c r="E1717" s="10" t="str">
        <f>HYPERLINK("https://twitter.com/AlbertoSBlanco/status/1070253841189359620","1070253841189359620")</f>
        <v>1070253841189359620</v>
      </c>
      <c r="F1717" s="11"/>
      <c r="G1717" s="11"/>
      <c r="H1717" s="11"/>
      <c r="I1717" s="12">
        <v>1</v>
      </c>
      <c r="J1717" s="12">
        <v>4</v>
      </c>
      <c r="K1717" s="13" t="str">
        <f>HYPERLINK("http://twitter.com/download/android","Twitter for Android")</f>
        <v>Twitter for Android</v>
      </c>
      <c r="L1717" s="12">
        <v>2667</v>
      </c>
      <c r="M1717" s="12">
        <v>1400</v>
      </c>
      <c r="N1717" s="12">
        <v>33</v>
      </c>
      <c r="O1717" s="14"/>
      <c r="P1717" s="6">
        <v>40747.720636574071</v>
      </c>
      <c r="Q1717" s="11"/>
      <c r="R1717" s="17" t="s">
        <v>1130</v>
      </c>
      <c r="S1717" s="16" t="s">
        <v>1131</v>
      </c>
      <c r="T1717" s="11"/>
      <c r="U1717" s="10" t="str">
        <f>HYPERLINK("https://pbs.twimg.com/profile_images/966330983829135360/yRqQ0NN1.jpg","View")</f>
        <v>View</v>
      </c>
    </row>
    <row r="1718" spans="1:21" ht="51">
      <c r="A1718" s="6">
        <v>43439.450995370367</v>
      </c>
      <c r="B1718" s="7" t="str">
        <f>HYPERLINK("https://twitter.com/davidwalsh92","@davidwalsh92")</f>
        <v>@davidwalsh92</v>
      </c>
      <c r="C1718" s="8" t="s">
        <v>6089</v>
      </c>
      <c r="D1718" s="9" t="s">
        <v>6090</v>
      </c>
      <c r="E1718" s="10" t="str">
        <f>HYPERLINK("https://twitter.com/davidwalsh92/status/1070253808326987776","1070253808326987776")</f>
        <v>1070253808326987776</v>
      </c>
      <c r="F1718" s="11"/>
      <c r="G1718" s="11"/>
      <c r="H1718" s="11"/>
      <c r="I1718" s="12">
        <v>4</v>
      </c>
      <c r="J1718" s="12">
        <v>4</v>
      </c>
      <c r="K1718" s="13" t="str">
        <f>HYPERLINK("http://twitter.com","Twitter Web Client")</f>
        <v>Twitter Web Client</v>
      </c>
      <c r="L1718" s="12">
        <v>338</v>
      </c>
      <c r="M1718" s="12">
        <v>775</v>
      </c>
      <c r="N1718" s="12">
        <v>1</v>
      </c>
      <c r="O1718" s="14"/>
      <c r="P1718" s="6">
        <v>40946.746365740742</v>
      </c>
      <c r="Q1718" s="15" t="s">
        <v>6091</v>
      </c>
      <c r="R1718" s="17" t="s">
        <v>6092</v>
      </c>
      <c r="S1718" s="11"/>
      <c r="T1718" s="11"/>
      <c r="U1718" s="10" t="str">
        <f>HYPERLINK("https://pbs.twimg.com/profile_images/1030234392789172224/Nr9oRr72.jpg","View")</f>
        <v>View</v>
      </c>
    </row>
    <row r="1719" spans="1:21" ht="40.799999999999997">
      <c r="A1719" s="6">
        <v>43439.450844907406</v>
      </c>
      <c r="B1719" s="7" t="str">
        <f>HYPERLINK("https://twitter.com/joseRMCE","@joseRMCE")</f>
        <v>@joseRMCE</v>
      </c>
      <c r="C1719" s="8" t="s">
        <v>238</v>
      </c>
      <c r="D1719" s="9" t="s">
        <v>6093</v>
      </c>
      <c r="E1719" s="10" t="str">
        <f>HYPERLINK("https://twitter.com/joseRMCE/status/1070253752614035457","1070253752614035457")</f>
        <v>1070253752614035457</v>
      </c>
      <c r="F1719" s="16" t="s">
        <v>132</v>
      </c>
      <c r="G1719" s="11"/>
      <c r="H1719" s="11"/>
      <c r="I1719" s="12">
        <v>0</v>
      </c>
      <c r="J1719" s="12">
        <v>0</v>
      </c>
      <c r="K1719" s="13" t="str">
        <f t="shared" ref="K1719:K1720" si="391">HYPERLINK("http://twitter.com/download/android","Twitter for Android")</f>
        <v>Twitter for Android</v>
      </c>
      <c r="L1719" s="12">
        <v>247</v>
      </c>
      <c r="M1719" s="12">
        <v>365</v>
      </c>
      <c r="N1719" s="12">
        <v>3</v>
      </c>
      <c r="O1719" s="14"/>
      <c r="P1719" s="6">
        <v>42900.386817129634</v>
      </c>
      <c r="Q1719" s="15" t="s">
        <v>240</v>
      </c>
      <c r="R1719" s="17" t="s">
        <v>241</v>
      </c>
      <c r="S1719" s="11"/>
      <c r="T1719" s="11"/>
      <c r="U1719" s="10" t="str">
        <f>HYPERLINK("https://pbs.twimg.com/profile_images/1067543052774969344/bDgjM43p.jpg","View")</f>
        <v>View</v>
      </c>
    </row>
    <row r="1720" spans="1:21" ht="71.400000000000006">
      <c r="A1720" s="6">
        <v>43439.449803240743</v>
      </c>
      <c r="B1720" s="7" t="str">
        <f>HYPERLINK("https://twitter.com/_23Sergio","@_23Sergio")</f>
        <v>@_23Sergio</v>
      </c>
      <c r="C1720" s="8" t="s">
        <v>3233</v>
      </c>
      <c r="D1720" s="9" t="s">
        <v>6094</v>
      </c>
      <c r="E1720" s="10" t="str">
        <f>HYPERLINK("https://twitter.com/_23Sergio/status/1070253376124923905","1070253376124923905")</f>
        <v>1070253376124923905</v>
      </c>
      <c r="F1720" s="16" t="s">
        <v>6095</v>
      </c>
      <c r="G1720" s="11"/>
      <c r="H1720" s="11"/>
      <c r="I1720" s="12">
        <v>2</v>
      </c>
      <c r="J1720" s="12">
        <v>1</v>
      </c>
      <c r="K1720" s="13" t="str">
        <f t="shared" si="391"/>
        <v>Twitter for Android</v>
      </c>
      <c r="L1720" s="12">
        <v>1344</v>
      </c>
      <c r="M1720" s="12">
        <v>1825</v>
      </c>
      <c r="N1720" s="12">
        <v>12</v>
      </c>
      <c r="O1720" s="14"/>
      <c r="P1720" s="6">
        <v>40503.781458333331</v>
      </c>
      <c r="Q1720" s="15" t="s">
        <v>3236</v>
      </c>
      <c r="R1720" s="17" t="s">
        <v>3237</v>
      </c>
      <c r="S1720" s="11"/>
      <c r="T1720" s="11"/>
      <c r="U1720" s="10" t="str">
        <f>HYPERLINK("https://pbs.twimg.com/profile_images/959348744822157312/wUGKBFb3.jpg","View")</f>
        <v>View</v>
      </c>
    </row>
    <row r="1721" spans="1:21" ht="40.799999999999997">
      <c r="A1721" s="6">
        <v>43439.448252314818</v>
      </c>
      <c r="B1721" s="7" t="str">
        <f>HYPERLINK("https://twitter.com/robersanchez98","@robersanchez98")</f>
        <v>@robersanchez98</v>
      </c>
      <c r="C1721" s="8" t="s">
        <v>2713</v>
      </c>
      <c r="D1721" s="9" t="s">
        <v>6096</v>
      </c>
      <c r="E1721" s="10" t="str">
        <f>HYPERLINK("https://twitter.com/robersanchez98/status/1070252813287153664","1070252813287153664")</f>
        <v>1070252813287153664</v>
      </c>
      <c r="F1721" s="16" t="s">
        <v>6097</v>
      </c>
      <c r="G1721" s="11"/>
      <c r="H1721" s="11"/>
      <c r="I1721" s="12">
        <v>0</v>
      </c>
      <c r="J1721" s="12">
        <v>0</v>
      </c>
      <c r="K1721" s="13" t="str">
        <f t="shared" ref="K1721:K1722" si="392">HYPERLINK("http://twitter.com","Twitter Web Client")</f>
        <v>Twitter Web Client</v>
      </c>
      <c r="L1721" s="12">
        <v>248</v>
      </c>
      <c r="M1721" s="12">
        <v>449</v>
      </c>
      <c r="N1721" s="12">
        <v>9</v>
      </c>
      <c r="O1721" s="14"/>
      <c r="P1721" s="6">
        <v>41909.51258101852</v>
      </c>
      <c r="Q1721" s="15" t="s">
        <v>118</v>
      </c>
      <c r="R1721" s="17" t="s">
        <v>2716</v>
      </c>
      <c r="S1721" s="11"/>
      <c r="T1721" s="11"/>
      <c r="U1721" s="10" t="str">
        <f>HYPERLINK("https://pbs.twimg.com/profile_images/1031962076003147776/JvDVrA12.jpg","View")</f>
        <v>View</v>
      </c>
    </row>
    <row r="1722" spans="1:21" ht="20.399999999999999">
      <c r="A1722" s="6">
        <v>43439.447800925926</v>
      </c>
      <c r="B1722" s="7" t="str">
        <f>HYPERLINK("https://twitter.com/nomedesporculo1","@nomedesporculo1")</f>
        <v>@nomedesporculo1</v>
      </c>
      <c r="C1722" s="8" t="s">
        <v>258</v>
      </c>
      <c r="D1722" s="9" t="s">
        <v>6098</v>
      </c>
      <c r="E1722" s="10" t="str">
        <f>HYPERLINK("https://twitter.com/nomedesporculo1/status/1070252650350956545","1070252650350956545")</f>
        <v>1070252650350956545</v>
      </c>
      <c r="F1722" s="16" t="s">
        <v>6099</v>
      </c>
      <c r="G1722" s="16" t="s">
        <v>6100</v>
      </c>
      <c r="H1722" s="11"/>
      <c r="I1722" s="12">
        <v>0</v>
      </c>
      <c r="J1722" s="12">
        <v>0</v>
      </c>
      <c r="K1722" s="13" t="str">
        <f t="shared" si="392"/>
        <v>Twitter Web Client</v>
      </c>
      <c r="L1722" s="12">
        <v>452</v>
      </c>
      <c r="M1722" s="12">
        <v>573</v>
      </c>
      <c r="N1722" s="12">
        <v>1</v>
      </c>
      <c r="O1722" s="14"/>
      <c r="P1722" s="6">
        <v>43229.504178240742</v>
      </c>
      <c r="Q1722" s="15" t="s">
        <v>197</v>
      </c>
      <c r="R1722" s="17" t="s">
        <v>262</v>
      </c>
      <c r="S1722" s="11"/>
      <c r="T1722" s="11"/>
      <c r="U1722" s="10" t="str">
        <f>HYPERLINK("https://pbs.twimg.com/profile_images/994246645255729152/cHfn_Hjl.jpg","View")</f>
        <v>View</v>
      </c>
    </row>
    <row r="1723" spans="1:21" ht="30.6">
      <c r="A1723" s="6">
        <v>43439.447488425925</v>
      </c>
      <c r="B1723" s="7" t="str">
        <f>HYPERLINK("https://twitter.com/revol_es","@revol_es")</f>
        <v>@revol_es</v>
      </c>
      <c r="C1723" s="8" t="s">
        <v>6101</v>
      </c>
      <c r="D1723" s="9" t="s">
        <v>6102</v>
      </c>
      <c r="E1723" s="10" t="str">
        <f>HYPERLINK("https://twitter.com/revol_es/status/1070252536781815808","1070252536781815808")</f>
        <v>1070252536781815808</v>
      </c>
      <c r="F1723" s="11"/>
      <c r="G1723" s="11"/>
      <c r="H1723" s="11"/>
      <c r="I1723" s="12">
        <v>1</v>
      </c>
      <c r="J1723" s="12">
        <v>1</v>
      </c>
      <c r="K1723" s="13" t="str">
        <f>HYPERLINK("http://twitter.com/download/android","Twitter for Android")</f>
        <v>Twitter for Android</v>
      </c>
      <c r="L1723" s="12">
        <v>1329</v>
      </c>
      <c r="M1723" s="12">
        <v>985</v>
      </c>
      <c r="N1723" s="12">
        <v>2</v>
      </c>
      <c r="O1723" s="14"/>
      <c r="P1723" s="6">
        <v>42413.555208333331</v>
      </c>
      <c r="Q1723" s="11"/>
      <c r="R1723" s="17" t="s">
        <v>6103</v>
      </c>
      <c r="S1723" s="16" t="s">
        <v>6104</v>
      </c>
      <c r="T1723" s="11"/>
      <c r="U1723" s="10" t="str">
        <f>HYPERLINK("https://pbs.twimg.com/profile_images/1035207491813101568/eqj_jdOb.jpg","View")</f>
        <v>View</v>
      </c>
    </row>
    <row r="1724" spans="1:21" ht="61.2">
      <c r="A1724" s="6">
        <v>43439.447349537033</v>
      </c>
      <c r="B1724" s="7" t="str">
        <f>HYPERLINK("https://twitter.com/Chusbrave","@Chusbrave")</f>
        <v>@Chusbrave</v>
      </c>
      <c r="C1724" s="8" t="s">
        <v>4749</v>
      </c>
      <c r="D1724" s="9" t="s">
        <v>6105</v>
      </c>
      <c r="E1724" s="10" t="str">
        <f>HYPERLINK("https://twitter.com/Chusbrave/status/1070252486001340419","1070252486001340419")</f>
        <v>1070252486001340419</v>
      </c>
      <c r="F1724" s="16" t="s">
        <v>6106</v>
      </c>
      <c r="G1724" s="11"/>
      <c r="H1724" s="11"/>
      <c r="I1724" s="12">
        <v>0</v>
      </c>
      <c r="J1724" s="12">
        <v>0</v>
      </c>
      <c r="K1724" s="13" t="str">
        <f>HYPERLINK("http://twitter.com/download/iphone","Twitter for iPhone")</f>
        <v>Twitter for iPhone</v>
      </c>
      <c r="L1724" s="12">
        <v>325</v>
      </c>
      <c r="M1724" s="12">
        <v>355</v>
      </c>
      <c r="N1724" s="12">
        <v>7</v>
      </c>
      <c r="O1724" s="14"/>
      <c r="P1724" s="6">
        <v>40855.030833333338</v>
      </c>
      <c r="Q1724" s="15" t="s">
        <v>612</v>
      </c>
      <c r="R1724" s="17" t="s">
        <v>4752</v>
      </c>
      <c r="S1724" s="11"/>
      <c r="T1724" s="11"/>
      <c r="U1724" s="10" t="str">
        <f>HYPERLINK("https://pbs.twimg.com/profile_images/1649077231/twitter.JPG","View")</f>
        <v>View</v>
      </c>
    </row>
    <row r="1725" spans="1:21" ht="40.799999999999997">
      <c r="A1725" s="6">
        <v>43439.446388888886</v>
      </c>
      <c r="B1725" s="7" t="str">
        <f>HYPERLINK("https://twitter.com/mcargarin13","@mcargarin13")</f>
        <v>@mcargarin13</v>
      </c>
      <c r="C1725" s="8" t="s">
        <v>6107</v>
      </c>
      <c r="D1725" s="9" t="s">
        <v>6108</v>
      </c>
      <c r="E1725" s="10" t="str">
        <f>HYPERLINK("https://twitter.com/mcargarin13/status/1070252138918486016","1070252138918486016")</f>
        <v>1070252138918486016</v>
      </c>
      <c r="F1725" s="15" t="s">
        <v>6109</v>
      </c>
      <c r="G1725" s="11"/>
      <c r="H1725" s="11"/>
      <c r="I1725" s="12">
        <v>0</v>
      </c>
      <c r="J1725" s="12">
        <v>2</v>
      </c>
      <c r="K1725" s="13" t="str">
        <f>HYPERLINK("https://mobile.twitter.com","Twitter Lite")</f>
        <v>Twitter Lite</v>
      </c>
      <c r="L1725" s="12">
        <v>35</v>
      </c>
      <c r="M1725" s="12">
        <v>210</v>
      </c>
      <c r="N1725" s="12">
        <v>0</v>
      </c>
      <c r="O1725" s="14"/>
      <c r="P1725" s="6">
        <v>43436.526886574073</v>
      </c>
      <c r="Q1725" s="11"/>
      <c r="R1725" s="18"/>
      <c r="S1725" s="11"/>
      <c r="T1725" s="11"/>
      <c r="U1725" s="10" t="str">
        <f>HYPERLINK("https://pbs.twimg.com/profile_images/1069373219247964160/dh3Ow5gy.jpg","View")</f>
        <v>View</v>
      </c>
    </row>
    <row r="1726" spans="1:21" ht="51">
      <c r="A1726" s="6">
        <v>43439.445173611108</v>
      </c>
      <c r="B1726" s="7" t="str">
        <f>HYPERLINK("https://twitter.com/aronti25","@aronti25")</f>
        <v>@aronti25</v>
      </c>
      <c r="C1726" s="8" t="s">
        <v>6110</v>
      </c>
      <c r="D1726" s="9" t="s">
        <v>6111</v>
      </c>
      <c r="E1726" s="10" t="str">
        <f>HYPERLINK("https://twitter.com/aronti25/status/1070251695240814593","1070251695240814593")</f>
        <v>1070251695240814593</v>
      </c>
      <c r="F1726" s="11"/>
      <c r="G1726" s="11"/>
      <c r="H1726" s="11"/>
      <c r="I1726" s="12">
        <v>33</v>
      </c>
      <c r="J1726" s="12">
        <v>65</v>
      </c>
      <c r="K1726" s="13" t="str">
        <f>HYPERLINK("http://twitter.com/download/android","Twitter for Android")</f>
        <v>Twitter for Android</v>
      </c>
      <c r="L1726" s="12">
        <v>461</v>
      </c>
      <c r="M1726" s="12">
        <v>126</v>
      </c>
      <c r="N1726" s="12">
        <v>2</v>
      </c>
      <c r="O1726" s="14"/>
      <c r="P1726" s="6">
        <v>40925.968240740738</v>
      </c>
      <c r="Q1726" s="15" t="s">
        <v>6112</v>
      </c>
      <c r="R1726" s="17" t="s">
        <v>6113</v>
      </c>
      <c r="S1726" s="11"/>
      <c r="T1726" s="11"/>
      <c r="U1726" s="10" t="str">
        <f>HYPERLINK("https://pbs.twimg.com/profile_images/1047069671181234178/SfsysW5J.jpg","View")</f>
        <v>View</v>
      </c>
    </row>
    <row r="1727" spans="1:21" ht="51">
      <c r="A1727" s="6">
        <v>43439.444560185184</v>
      </c>
      <c r="B1727" s="7" t="str">
        <f>HYPERLINK("https://twitter.com/MentonAmericano","@MentonAmericano")</f>
        <v>@MentonAmericano</v>
      </c>
      <c r="C1727" s="8" t="s">
        <v>4025</v>
      </c>
      <c r="D1727" s="9" t="s">
        <v>6114</v>
      </c>
      <c r="E1727" s="10" t="str">
        <f>HYPERLINK("https://twitter.com/MentonAmericano/status/1070251475434127360","1070251475434127360")</f>
        <v>1070251475434127360</v>
      </c>
      <c r="F1727" s="11"/>
      <c r="G1727" s="11"/>
      <c r="H1727" s="11"/>
      <c r="I1727" s="12">
        <v>0</v>
      </c>
      <c r="J1727" s="12">
        <v>0</v>
      </c>
      <c r="K1727" s="13" t="str">
        <f>HYPERLINK("http://twitter.com","Twitter Web Client")</f>
        <v>Twitter Web Client</v>
      </c>
      <c r="L1727" s="12">
        <v>44</v>
      </c>
      <c r="M1727" s="12">
        <v>169</v>
      </c>
      <c r="N1727" s="12">
        <v>0</v>
      </c>
      <c r="O1727" s="14"/>
      <c r="P1727" s="6">
        <v>43320.738217592589</v>
      </c>
      <c r="Q1727" s="11"/>
      <c r="R1727" s="18"/>
      <c r="S1727" s="11"/>
      <c r="T1727" s="11"/>
      <c r="U1727" s="10" t="str">
        <f>HYPERLINK("https://pbs.twimg.com/profile_images/1058015464901824512/2dKN1XX1.jpg","View")</f>
        <v>View</v>
      </c>
    </row>
    <row r="1728" spans="1:21" ht="30.6">
      <c r="A1728" s="6">
        <v>43439.444050925929</v>
      </c>
      <c r="B1728" s="7" t="str">
        <f>HYPERLINK("https://twitter.com/domingodiazc","@domingodiazc")</f>
        <v>@domingodiazc</v>
      </c>
      <c r="C1728" s="8" t="s">
        <v>6115</v>
      </c>
      <c r="D1728" s="9" t="s">
        <v>6116</v>
      </c>
      <c r="E1728" s="10" t="str">
        <f>HYPERLINK("https://twitter.com/domingodiazc/status/1070251291342004224","1070251291342004224")</f>
        <v>1070251291342004224</v>
      </c>
      <c r="F1728" s="11"/>
      <c r="G1728" s="11"/>
      <c r="H1728" s="11"/>
      <c r="I1728" s="12">
        <v>7</v>
      </c>
      <c r="J1728" s="12">
        <v>10</v>
      </c>
      <c r="K1728" s="13" t="str">
        <f>HYPERLINK("http://twitter.com/download/android","Twitter for Android")</f>
        <v>Twitter for Android</v>
      </c>
      <c r="L1728" s="12">
        <v>207</v>
      </c>
      <c r="M1728" s="12">
        <v>424</v>
      </c>
      <c r="N1728" s="12">
        <v>7</v>
      </c>
      <c r="O1728" s="14"/>
      <c r="P1728" s="6">
        <v>41658.880381944444</v>
      </c>
      <c r="Q1728" s="15" t="s">
        <v>6117</v>
      </c>
      <c r="R1728" s="17" t="s">
        <v>6118</v>
      </c>
      <c r="S1728" s="11"/>
      <c r="T1728" s="11"/>
      <c r="U1728" s="10" t="str">
        <f>HYPERLINK("https://pbs.twimg.com/profile_images/928707230886694912/REhzCWpq.jpg","View")</f>
        <v>View</v>
      </c>
    </row>
    <row r="1729" spans="1:21" ht="30.6">
      <c r="A1729" s="6">
        <v>43439.443344907406</v>
      </c>
      <c r="B1729" s="7" t="str">
        <f>HYPERLINK("https://twitter.com/elprogramadear","@elprogramadear")</f>
        <v>@elprogramadear</v>
      </c>
      <c r="C1729" s="8" t="s">
        <v>5964</v>
      </c>
      <c r="D1729" s="9" t="s">
        <v>6102</v>
      </c>
      <c r="E1729" s="10" t="str">
        <f>HYPERLINK("https://twitter.com/elprogramadear/status/1070251035988541440","1070251035988541440")</f>
        <v>1070251035988541440</v>
      </c>
      <c r="F1729" s="11"/>
      <c r="G1729" s="16" t="s">
        <v>6119</v>
      </c>
      <c r="H1729" s="11"/>
      <c r="I1729" s="12">
        <v>9</v>
      </c>
      <c r="J1729" s="12">
        <v>36</v>
      </c>
      <c r="K1729" s="13" t="str">
        <f>HYPERLINK("https://about.twitter.com/products/tweetdeck","TweetDeck")</f>
        <v>TweetDeck</v>
      </c>
      <c r="L1729" s="12">
        <v>261943</v>
      </c>
      <c r="M1729" s="12">
        <v>425</v>
      </c>
      <c r="N1729" s="12">
        <v>722</v>
      </c>
      <c r="O1729" s="23" t="s">
        <v>89</v>
      </c>
      <c r="P1729" s="6">
        <v>40589.664733796293</v>
      </c>
      <c r="Q1729" s="15" t="s">
        <v>5809</v>
      </c>
      <c r="R1729" s="17" t="s">
        <v>5967</v>
      </c>
      <c r="S1729" s="16" t="s">
        <v>5968</v>
      </c>
      <c r="T1729" s="11"/>
      <c r="U1729" s="10" t="str">
        <f>HYPERLINK("https://pbs.twimg.com/profile_images/1038202480704872448/XwU_Ptt1.jpg","View")</f>
        <v>View</v>
      </c>
    </row>
    <row r="1730" spans="1:21" ht="30.6">
      <c r="A1730" s="6">
        <v>43439.443182870367</v>
      </c>
      <c r="B1730" s="7" t="str">
        <f>HYPERLINK("https://twitter.com/joseRMCE","@joseRMCE")</f>
        <v>@joseRMCE</v>
      </c>
      <c r="C1730" s="8" t="s">
        <v>238</v>
      </c>
      <c r="D1730" s="9" t="s">
        <v>6120</v>
      </c>
      <c r="E1730" s="10" t="str">
        <f>HYPERLINK("https://twitter.com/joseRMCE/status/1070250977188593666","1070250977188593666")</f>
        <v>1070250977188593666</v>
      </c>
      <c r="F1730" s="16" t="s">
        <v>4640</v>
      </c>
      <c r="G1730" s="11"/>
      <c r="H1730" s="11"/>
      <c r="I1730" s="12">
        <v>0</v>
      </c>
      <c r="J1730" s="12">
        <v>0</v>
      </c>
      <c r="K1730" s="13" t="str">
        <f t="shared" ref="K1730:K1732" si="393">HYPERLINK("http://twitter.com/download/android","Twitter for Android")</f>
        <v>Twitter for Android</v>
      </c>
      <c r="L1730" s="12">
        <v>247</v>
      </c>
      <c r="M1730" s="12">
        <v>365</v>
      </c>
      <c r="N1730" s="12">
        <v>3</v>
      </c>
      <c r="O1730" s="14"/>
      <c r="P1730" s="6">
        <v>42900.386817129634</v>
      </c>
      <c r="Q1730" s="15" t="s">
        <v>240</v>
      </c>
      <c r="R1730" s="17" t="s">
        <v>241</v>
      </c>
      <c r="S1730" s="11"/>
      <c r="T1730" s="11"/>
      <c r="U1730" s="10" t="str">
        <f>HYPERLINK("https://pbs.twimg.com/profile_images/1067543052774969344/bDgjM43p.jpg","View")</f>
        <v>View</v>
      </c>
    </row>
    <row r="1731" spans="1:21" ht="30.6">
      <c r="A1731" s="6">
        <v>43439.442291666666</v>
      </c>
      <c r="B1731" s="7" t="str">
        <f>HYPERLINK("https://twitter.com/kakigarcia77","@kakigarcia77")</f>
        <v>@kakigarcia77</v>
      </c>
      <c r="C1731" s="8" t="s">
        <v>6121</v>
      </c>
      <c r="D1731" s="9" t="s">
        <v>6122</v>
      </c>
      <c r="E1731" s="10" t="str">
        <f>HYPERLINK("https://twitter.com/kakigarcia77/status/1070250652629118981","1070250652629118981")</f>
        <v>1070250652629118981</v>
      </c>
      <c r="F1731" s="11"/>
      <c r="G1731" s="16" t="s">
        <v>6123</v>
      </c>
      <c r="H1731" s="11"/>
      <c r="I1731" s="12">
        <v>4</v>
      </c>
      <c r="J1731" s="12">
        <v>6</v>
      </c>
      <c r="K1731" s="13" t="str">
        <f t="shared" si="393"/>
        <v>Twitter for Android</v>
      </c>
      <c r="L1731" s="12">
        <v>597</v>
      </c>
      <c r="M1731" s="12">
        <v>630</v>
      </c>
      <c r="N1731" s="12">
        <v>7</v>
      </c>
      <c r="O1731" s="14"/>
      <c r="P1731" s="6">
        <v>42170.975763888884</v>
      </c>
      <c r="Q1731" s="15" t="s">
        <v>6124</v>
      </c>
      <c r="R1731" s="17" t="s">
        <v>6125</v>
      </c>
      <c r="S1731" s="11"/>
      <c r="T1731" s="11"/>
      <c r="U1731" s="10" t="str">
        <f>HYPERLINK("https://pbs.twimg.com/profile_images/1008983174658101248/HSX4piGJ.jpg","View")</f>
        <v>View</v>
      </c>
    </row>
    <row r="1732" spans="1:21" ht="40.799999999999997">
      <c r="A1732" s="6">
        <v>43439.441736111112</v>
      </c>
      <c r="B1732" s="7" t="str">
        <f>HYPERLINK("https://twitter.com/PabloVM20","@PabloVM20")</f>
        <v>@PabloVM20</v>
      </c>
      <c r="C1732" s="8" t="s">
        <v>6126</v>
      </c>
      <c r="D1732" s="9" t="s">
        <v>6127</v>
      </c>
      <c r="E1732" s="10" t="str">
        <f>HYPERLINK("https://twitter.com/PabloVM20/status/1070250451852017664","1070250451852017664")</f>
        <v>1070250451852017664</v>
      </c>
      <c r="F1732" s="11"/>
      <c r="G1732" s="16" t="s">
        <v>6128</v>
      </c>
      <c r="H1732" s="11"/>
      <c r="I1732" s="12">
        <v>17</v>
      </c>
      <c r="J1732" s="12">
        <v>38</v>
      </c>
      <c r="K1732" s="13" t="str">
        <f t="shared" si="393"/>
        <v>Twitter for Android</v>
      </c>
      <c r="L1732" s="12">
        <v>514</v>
      </c>
      <c r="M1732" s="12">
        <v>189</v>
      </c>
      <c r="N1732" s="12">
        <v>2</v>
      </c>
      <c r="O1732" s="14"/>
      <c r="P1732" s="6">
        <v>43107.714282407411</v>
      </c>
      <c r="Q1732" s="15" t="s">
        <v>312</v>
      </c>
      <c r="R1732" s="17" t="s">
        <v>6129</v>
      </c>
      <c r="S1732" s="16" t="s">
        <v>2218</v>
      </c>
      <c r="T1732" s="11"/>
      <c r="U1732" s="10" t="str">
        <f>HYPERLINK("https://pbs.twimg.com/profile_images/1060896980308766720/PxvHh9KE.jpg","View")</f>
        <v>View</v>
      </c>
    </row>
    <row r="1733" spans="1:21" ht="13.2">
      <c r="A1733" s="6">
        <v>43439.441701388889</v>
      </c>
      <c r="B1733" s="7" t="str">
        <f>HYPERLINK("https://twitter.com/NonoMaggioEsp","@NonoMaggioEsp")</f>
        <v>@NonoMaggioEsp</v>
      </c>
      <c r="C1733" s="8" t="s">
        <v>6130</v>
      </c>
      <c r="D1733" s="9" t="s">
        <v>6131</v>
      </c>
      <c r="E1733" s="10" t="str">
        <f>HYPERLINK("https://twitter.com/NonoMaggioEsp/status/1070250437033517056","1070250437033517056")</f>
        <v>1070250437033517056</v>
      </c>
      <c r="F1733" s="11"/>
      <c r="G1733" s="11"/>
      <c r="H1733" s="11"/>
      <c r="I1733" s="12">
        <v>1</v>
      </c>
      <c r="J1733" s="12">
        <v>6</v>
      </c>
      <c r="K1733" s="13" t="str">
        <f t="shared" ref="K1733:K1734" si="394">HYPERLINK("http://twitter.com","Twitter Web Client")</f>
        <v>Twitter Web Client</v>
      </c>
      <c r="L1733" s="12">
        <v>15</v>
      </c>
      <c r="M1733" s="12">
        <v>13</v>
      </c>
      <c r="N1733" s="12">
        <v>0</v>
      </c>
      <c r="O1733" s="14"/>
      <c r="P1733" s="6">
        <v>42475.052118055552</v>
      </c>
      <c r="Q1733" s="15" t="s">
        <v>651</v>
      </c>
      <c r="R1733" s="18"/>
      <c r="S1733" s="11"/>
      <c r="T1733" s="11"/>
      <c r="U1733" s="10" t="str">
        <f>HYPERLINK("https://pbs.twimg.com/profile_images/814740501148602368/c0gB9iOT.jpg","View")</f>
        <v>View</v>
      </c>
    </row>
    <row r="1734" spans="1:21" ht="30.6">
      <c r="A1734" s="6">
        <v>43439.441168981481</v>
      </c>
      <c r="B1734" s="7" t="str">
        <f>HYPERLINK("https://twitter.com/_drazz_","@_drazz_")</f>
        <v>@_drazz_</v>
      </c>
      <c r="C1734" s="8" t="s">
        <v>6132</v>
      </c>
      <c r="D1734" s="9" t="s">
        <v>6133</v>
      </c>
      <c r="E1734" s="10" t="str">
        <f>HYPERLINK("https://twitter.com/_drazz_/status/1070250245257351169","1070250245257351169")</f>
        <v>1070250245257351169</v>
      </c>
      <c r="F1734" s="11"/>
      <c r="G1734" s="11"/>
      <c r="H1734" s="11"/>
      <c r="I1734" s="12">
        <v>0</v>
      </c>
      <c r="J1734" s="12">
        <v>0</v>
      </c>
      <c r="K1734" s="13" t="str">
        <f t="shared" si="394"/>
        <v>Twitter Web Client</v>
      </c>
      <c r="L1734" s="12">
        <v>112</v>
      </c>
      <c r="M1734" s="12">
        <v>590</v>
      </c>
      <c r="N1734" s="12">
        <v>0</v>
      </c>
      <c r="O1734" s="14"/>
      <c r="P1734" s="6">
        <v>43346.710486111115</v>
      </c>
      <c r="Q1734" s="15" t="s">
        <v>6134</v>
      </c>
      <c r="R1734" s="17" t="s">
        <v>6135</v>
      </c>
      <c r="S1734" s="11"/>
      <c r="T1734" s="11"/>
      <c r="U1734" s="10" t="str">
        <f>HYPERLINK("https://pbs.twimg.com/profile_images/1047770369615126530/hLU42Whz.jpg","View")</f>
        <v>View</v>
      </c>
    </row>
    <row r="1735" spans="1:21" ht="13.2">
      <c r="A1735" s="6">
        <v>43439.440960648149</v>
      </c>
      <c r="B1735" s="7" t="str">
        <f>HYPERLINK("https://twitter.com/PpcaballosPepe","@PpcaballosPepe")</f>
        <v>@PpcaballosPepe</v>
      </c>
      <c r="C1735" s="8" t="s">
        <v>2035</v>
      </c>
      <c r="D1735" s="9" t="s">
        <v>6136</v>
      </c>
      <c r="E1735" s="10" t="str">
        <f>HYPERLINK("https://twitter.com/PpcaballosPepe/status/1070250171680796673","1070250171680796673")</f>
        <v>1070250171680796673</v>
      </c>
      <c r="F1735" s="16" t="s">
        <v>6137</v>
      </c>
      <c r="G1735" s="11"/>
      <c r="H1735" s="11"/>
      <c r="I1735" s="12">
        <v>0</v>
      </c>
      <c r="J1735" s="12">
        <v>0</v>
      </c>
      <c r="K1735" s="13" t="str">
        <f>HYPERLINK("http://instagram.com","Instagram")</f>
        <v>Instagram</v>
      </c>
      <c r="L1735" s="12">
        <v>71</v>
      </c>
      <c r="M1735" s="12">
        <v>205</v>
      </c>
      <c r="N1735" s="12">
        <v>0</v>
      </c>
      <c r="O1735" s="14"/>
      <c r="P1735" s="6">
        <v>40963.386145833334</v>
      </c>
      <c r="Q1735" s="11"/>
      <c r="R1735" s="17" t="s">
        <v>2038</v>
      </c>
      <c r="S1735" s="11"/>
      <c r="T1735" s="11"/>
      <c r="U1735" s="23" t="s">
        <v>437</v>
      </c>
    </row>
    <row r="1736" spans="1:21" ht="30.6">
      <c r="A1736" s="6">
        <v>43439.440706018519</v>
      </c>
      <c r="B1736" s="7" t="str">
        <f>HYPERLINK("https://twitter.com/PaharitoAsul","@PaharitoAsul")</f>
        <v>@PaharitoAsul</v>
      </c>
      <c r="C1736" s="8" t="s">
        <v>6138</v>
      </c>
      <c r="D1736" s="9" t="s">
        <v>6139</v>
      </c>
      <c r="E1736" s="10" t="str">
        <f>HYPERLINK("https://twitter.com/PaharitoAsul/status/1070250077493563394","1070250077493563394")</f>
        <v>1070250077493563394</v>
      </c>
      <c r="F1736" s="11"/>
      <c r="G1736" s="11"/>
      <c r="H1736" s="11"/>
      <c r="I1736" s="12">
        <v>5</v>
      </c>
      <c r="J1736" s="12">
        <v>13</v>
      </c>
      <c r="K1736" s="13" t="str">
        <f>HYPERLINK("http://twitter.com/download/iphone","Twitter for iPhone")</f>
        <v>Twitter for iPhone</v>
      </c>
      <c r="L1736" s="12">
        <v>13914</v>
      </c>
      <c r="M1736" s="12">
        <v>12258</v>
      </c>
      <c r="N1736" s="12">
        <v>83</v>
      </c>
      <c r="O1736" s="14"/>
      <c r="P1736" s="6">
        <v>41964.837650462963</v>
      </c>
      <c r="Q1736" s="15" t="s">
        <v>986</v>
      </c>
      <c r="R1736" s="17" t="s">
        <v>6140</v>
      </c>
      <c r="S1736" s="11"/>
      <c r="T1736" s="11"/>
      <c r="U1736" s="10" t="str">
        <f>HYPERLINK("https://pbs.twimg.com/profile_images/1051202543387402240/aHCmXnGH.jpg","View")</f>
        <v>View</v>
      </c>
    </row>
    <row r="1737" spans="1:21" ht="40.799999999999997">
      <c r="A1737" s="6">
        <v>43439.440300925926</v>
      </c>
      <c r="B1737" s="7" t="str">
        <f>HYPERLINK("https://twitter.com/Niko_Rosales","@Niko_Rosales")</f>
        <v>@Niko_Rosales</v>
      </c>
      <c r="C1737" s="8" t="s">
        <v>6141</v>
      </c>
      <c r="D1737" s="9" t="s">
        <v>6142</v>
      </c>
      <c r="E1737" s="10" t="str">
        <f>HYPERLINK("https://twitter.com/Niko_Rosales/status/1070249931758280704","1070249931758280704")</f>
        <v>1070249931758280704</v>
      </c>
      <c r="F1737" s="11"/>
      <c r="G1737" s="11"/>
      <c r="H1737" s="11"/>
      <c r="I1737" s="12">
        <v>1</v>
      </c>
      <c r="J1737" s="12">
        <v>6</v>
      </c>
      <c r="K1737" s="13" t="str">
        <f>HYPERLINK("http://twitter.com","Twitter Web Client")</f>
        <v>Twitter Web Client</v>
      </c>
      <c r="L1737" s="12">
        <v>11780</v>
      </c>
      <c r="M1737" s="12">
        <v>224</v>
      </c>
      <c r="N1737" s="12">
        <v>23</v>
      </c>
      <c r="O1737" s="14"/>
      <c r="P1737" s="6">
        <v>40898.99795138889</v>
      </c>
      <c r="Q1737" s="15" t="s">
        <v>6143</v>
      </c>
      <c r="R1737" s="17" t="s">
        <v>6144</v>
      </c>
      <c r="S1737" s="16" t="s">
        <v>6145</v>
      </c>
      <c r="T1737" s="11"/>
      <c r="U1737" s="10" t="str">
        <f>HYPERLINK("https://pbs.twimg.com/profile_images/998529106399576064/tSW1-fu1.jpg","View")</f>
        <v>View</v>
      </c>
    </row>
    <row r="1738" spans="1:21" ht="30.6">
      <c r="A1738" s="6">
        <v>43439.440150462964</v>
      </c>
      <c r="B1738" s="7" t="str">
        <f>HYPERLINK("https://twitter.com/querida_espana","@querida_espana")</f>
        <v>@querida_espana</v>
      </c>
      <c r="C1738" s="8" t="s">
        <v>5822</v>
      </c>
      <c r="D1738" s="9" t="s">
        <v>6146</v>
      </c>
      <c r="E1738" s="10" t="str">
        <f>HYPERLINK("https://twitter.com/querida_espana/status/1070249877169430529","1070249877169430529")</f>
        <v>1070249877169430529</v>
      </c>
      <c r="F1738" s="11"/>
      <c r="G1738" s="11"/>
      <c r="H1738" s="11"/>
      <c r="I1738" s="12">
        <v>1</v>
      </c>
      <c r="J1738" s="12">
        <v>2</v>
      </c>
      <c r="K1738" s="13" t="str">
        <f>HYPERLINK("http://twitter.com/download/iphone","Twitter for iPhone")</f>
        <v>Twitter for iPhone</v>
      </c>
      <c r="L1738" s="12">
        <v>2960</v>
      </c>
      <c r="M1738" s="12">
        <v>2761</v>
      </c>
      <c r="N1738" s="12">
        <v>2</v>
      </c>
      <c r="O1738" s="14"/>
      <c r="P1738" s="6">
        <v>43035.826724537037</v>
      </c>
      <c r="Q1738" s="15" t="s">
        <v>2875</v>
      </c>
      <c r="R1738" s="17" t="s">
        <v>5826</v>
      </c>
      <c r="S1738" s="11"/>
      <c r="T1738" s="11"/>
      <c r="U1738" s="10" t="str">
        <f>HYPERLINK("https://pbs.twimg.com/profile_images/1053409931959980032/IAUh3fP-.jpg","View")</f>
        <v>View</v>
      </c>
    </row>
    <row r="1739" spans="1:21" ht="51">
      <c r="A1739" s="6">
        <v>43439.438993055555</v>
      </c>
      <c r="B1739" s="7" t="str">
        <f>HYPERLINK("https://twitter.com/alex_vkcr","@alex_vkcr")</f>
        <v>@alex_vkcr</v>
      </c>
      <c r="C1739" s="8" t="s">
        <v>6147</v>
      </c>
      <c r="D1739" s="9" t="s">
        <v>6148</v>
      </c>
      <c r="E1739" s="10" t="str">
        <f>HYPERLINK("https://twitter.com/alex_vkcr/status/1070249458108125184","1070249458108125184")</f>
        <v>1070249458108125184</v>
      </c>
      <c r="F1739" s="11"/>
      <c r="G1739" s="11"/>
      <c r="H1739" s="11"/>
      <c r="I1739" s="12">
        <v>0</v>
      </c>
      <c r="J1739" s="12">
        <v>0</v>
      </c>
      <c r="K1739" s="13" t="str">
        <f>HYPERLINK("http://twitter.com/download/android","Twitter for Android")</f>
        <v>Twitter for Android</v>
      </c>
      <c r="L1739" s="12">
        <v>245</v>
      </c>
      <c r="M1739" s="12">
        <v>564</v>
      </c>
      <c r="N1739" s="12">
        <v>2</v>
      </c>
      <c r="O1739" s="14"/>
      <c r="P1739" s="6">
        <v>40652.758217592593</v>
      </c>
      <c r="Q1739" s="15" t="s">
        <v>6149</v>
      </c>
      <c r="R1739" s="17" t="s">
        <v>6150</v>
      </c>
      <c r="S1739" s="11"/>
      <c r="T1739" s="11"/>
      <c r="U1739" s="10" t="str">
        <f>HYPERLINK("https://pbs.twimg.com/profile_images/1044276494246318080/yem2X3tA.jpg","View")</f>
        <v>View</v>
      </c>
    </row>
    <row r="1740" spans="1:21" ht="40.799999999999997">
      <c r="A1740" s="6">
        <v>43439.438842592594</v>
      </c>
      <c r="B1740" s="7" t="str">
        <f>HYPERLINK("https://twitter.com/querida_espana","@querida_espana")</f>
        <v>@querida_espana</v>
      </c>
      <c r="C1740" s="8" t="s">
        <v>5822</v>
      </c>
      <c r="D1740" s="9" t="s">
        <v>6151</v>
      </c>
      <c r="E1740" s="10" t="str">
        <f>HYPERLINK("https://twitter.com/querida_espana/status/1070249401187295232","1070249401187295232")</f>
        <v>1070249401187295232</v>
      </c>
      <c r="F1740" s="16" t="s">
        <v>6152</v>
      </c>
      <c r="G1740" s="16" t="s">
        <v>6153</v>
      </c>
      <c r="H1740" s="11"/>
      <c r="I1740" s="12">
        <v>1</v>
      </c>
      <c r="J1740" s="12">
        <v>1</v>
      </c>
      <c r="K1740" s="13" t="str">
        <f>HYPERLINK("http://twitter.com/download/iphone","Twitter for iPhone")</f>
        <v>Twitter for iPhone</v>
      </c>
      <c r="L1740" s="12">
        <v>2960</v>
      </c>
      <c r="M1740" s="12">
        <v>2761</v>
      </c>
      <c r="N1740" s="12">
        <v>2</v>
      </c>
      <c r="O1740" s="14"/>
      <c r="P1740" s="6">
        <v>43035.826724537037</v>
      </c>
      <c r="Q1740" s="15" t="s">
        <v>2875</v>
      </c>
      <c r="R1740" s="17" t="s">
        <v>5826</v>
      </c>
      <c r="S1740" s="11"/>
      <c r="T1740" s="11"/>
      <c r="U1740" s="10" t="str">
        <f>HYPERLINK("https://pbs.twimg.com/profile_images/1053409931959980032/IAUh3fP-.jpg","View")</f>
        <v>View</v>
      </c>
    </row>
    <row r="1741" spans="1:21" ht="40.799999999999997">
      <c r="A1741" s="6">
        <v>43439.438090277778</v>
      </c>
      <c r="B1741" s="7" t="str">
        <f>HYPERLINK("https://twitter.com/kakigarcia77","@kakigarcia77")</f>
        <v>@kakigarcia77</v>
      </c>
      <c r="C1741" s="8" t="s">
        <v>6121</v>
      </c>
      <c r="D1741" s="9" t="s">
        <v>6154</v>
      </c>
      <c r="E1741" s="10" t="str">
        <f>HYPERLINK("https://twitter.com/kakigarcia77/status/1070249130486849536","1070249130486849536")</f>
        <v>1070249130486849536</v>
      </c>
      <c r="F1741" s="11"/>
      <c r="G1741" s="11"/>
      <c r="H1741" s="11"/>
      <c r="I1741" s="12">
        <v>0</v>
      </c>
      <c r="J1741" s="12">
        <v>1</v>
      </c>
      <c r="K1741" s="13" t="str">
        <f>HYPERLINK("http://twitter.com/download/android","Twitter for Android")</f>
        <v>Twitter for Android</v>
      </c>
      <c r="L1741" s="12">
        <v>597</v>
      </c>
      <c r="M1741" s="12">
        <v>630</v>
      </c>
      <c r="N1741" s="12">
        <v>7</v>
      </c>
      <c r="O1741" s="14"/>
      <c r="P1741" s="6">
        <v>42170.975763888884</v>
      </c>
      <c r="Q1741" s="15" t="s">
        <v>6124</v>
      </c>
      <c r="R1741" s="17" t="s">
        <v>6125</v>
      </c>
      <c r="S1741" s="11"/>
      <c r="T1741" s="11"/>
      <c r="U1741" s="10" t="str">
        <f>HYPERLINK("https://pbs.twimg.com/profile_images/1008983174658101248/HSX4piGJ.jpg","View")</f>
        <v>View</v>
      </c>
    </row>
    <row r="1742" spans="1:21" ht="51">
      <c r="A1742" s="6">
        <v>43439.437939814816</v>
      </c>
      <c r="B1742" s="7" t="str">
        <f>HYPERLINK("https://twitter.com/Erikahcastilla","@Erikahcastilla")</f>
        <v>@Erikahcastilla</v>
      </c>
      <c r="C1742" s="8" t="s">
        <v>6155</v>
      </c>
      <c r="D1742" s="9" t="s">
        <v>6156</v>
      </c>
      <c r="E1742" s="10" t="str">
        <f>HYPERLINK("https://twitter.com/Erikahcastilla/status/1070249074379632641","1070249074379632641")</f>
        <v>1070249074379632641</v>
      </c>
      <c r="F1742" s="11"/>
      <c r="G1742" s="11"/>
      <c r="H1742" s="11"/>
      <c r="I1742" s="12">
        <v>0</v>
      </c>
      <c r="J1742" s="12">
        <v>0</v>
      </c>
      <c r="K1742" s="13" t="str">
        <f>HYPERLINK("http://twitter.com/download/iphone","Twitter for iPhone")</f>
        <v>Twitter for iPhone</v>
      </c>
      <c r="L1742" s="12">
        <v>145</v>
      </c>
      <c r="M1742" s="12">
        <v>197</v>
      </c>
      <c r="N1742" s="12">
        <v>1</v>
      </c>
      <c r="O1742" s="14"/>
      <c r="P1742" s="6">
        <v>40574.700370370367</v>
      </c>
      <c r="Q1742" s="11"/>
      <c r="R1742" s="17" t="s">
        <v>6157</v>
      </c>
      <c r="S1742" s="11"/>
      <c r="T1742" s="11"/>
      <c r="U1742" s="10" t="str">
        <f>HYPERLINK("https://pbs.twimg.com/profile_images/532659236619026432/KFp1zUWx.jpeg","View")</f>
        <v>View</v>
      </c>
    </row>
    <row r="1743" spans="1:21" ht="40.799999999999997">
      <c r="A1743" s="6">
        <v>43439.436840277776</v>
      </c>
      <c r="B1743" s="7" t="str">
        <f>HYPERLINK("https://twitter.com/Cescbaez","@Cescbaez")</f>
        <v>@Cescbaez</v>
      </c>
      <c r="C1743" s="8" t="s">
        <v>6158</v>
      </c>
      <c r="D1743" s="9" t="s">
        <v>6159</v>
      </c>
      <c r="E1743" s="10" t="str">
        <f>HYPERLINK("https://twitter.com/Cescbaez/status/1070248676646420480","1070248676646420480")</f>
        <v>1070248676646420480</v>
      </c>
      <c r="F1743" s="11"/>
      <c r="G1743" s="11"/>
      <c r="H1743" s="11"/>
      <c r="I1743" s="12">
        <v>0</v>
      </c>
      <c r="J1743" s="12">
        <v>0</v>
      </c>
      <c r="K1743" s="13" t="str">
        <f t="shared" ref="K1743:K1744" si="395">HYPERLINK("http://twitter.com","Twitter Web Client")</f>
        <v>Twitter Web Client</v>
      </c>
      <c r="L1743" s="12">
        <v>1351</v>
      </c>
      <c r="M1743" s="12">
        <v>1567</v>
      </c>
      <c r="N1743" s="12">
        <v>35</v>
      </c>
      <c r="O1743" s="14"/>
      <c r="P1743" s="6">
        <v>40617.937789351854</v>
      </c>
      <c r="Q1743" s="15" t="s">
        <v>6160</v>
      </c>
      <c r="R1743" s="17" t="s">
        <v>6161</v>
      </c>
      <c r="S1743" s="11"/>
      <c r="T1743" s="11"/>
      <c r="U1743" s="10" t="str">
        <f>HYPERLINK("https://pbs.twimg.com/profile_images/1009787955077177347/t2NPGSVG.jpg","View")</f>
        <v>View</v>
      </c>
    </row>
    <row r="1744" spans="1:21" ht="20.399999999999999">
      <c r="A1744" s="6">
        <v>43439.435729166667</v>
      </c>
      <c r="B1744" s="7" t="str">
        <f>HYPERLINK("https://twitter.com/RBoquerone","@RBoquerone")</f>
        <v>@RBoquerone</v>
      </c>
      <c r="C1744" s="8" t="s">
        <v>6162</v>
      </c>
      <c r="D1744" s="9" t="s">
        <v>6163</v>
      </c>
      <c r="E1744" s="10" t="str">
        <f>HYPERLINK("https://twitter.com/RBoquerone/status/1070248272848150528","1070248272848150528")</f>
        <v>1070248272848150528</v>
      </c>
      <c r="F1744" s="11"/>
      <c r="G1744" s="11"/>
      <c r="H1744" s="11"/>
      <c r="I1744" s="12">
        <v>2</v>
      </c>
      <c r="J1744" s="12">
        <v>6</v>
      </c>
      <c r="K1744" s="13" t="str">
        <f t="shared" si="395"/>
        <v>Twitter Web Client</v>
      </c>
      <c r="L1744" s="12">
        <v>63</v>
      </c>
      <c r="M1744" s="12">
        <v>116</v>
      </c>
      <c r="N1744" s="12">
        <v>0</v>
      </c>
      <c r="O1744" s="14"/>
      <c r="P1744" s="6">
        <v>41337.665127314816</v>
      </c>
      <c r="Q1744" s="15" t="s">
        <v>6164</v>
      </c>
      <c r="R1744" s="17" t="s">
        <v>6165</v>
      </c>
      <c r="S1744" s="11"/>
      <c r="T1744" s="11"/>
      <c r="U1744" s="10" t="str">
        <f>HYPERLINK("https://pbs.twimg.com/profile_images/1070650896747499520/0kpZD6Y4.jpg","View")</f>
        <v>View</v>
      </c>
    </row>
    <row r="1745" spans="1:21" ht="20.399999999999999">
      <c r="A1745" s="6">
        <v>43439.435115740736</v>
      </c>
      <c r="B1745" s="7" t="str">
        <f>HYPERLINK("https://twitter.com/bregonat","@bregonat")</f>
        <v>@bregonat</v>
      </c>
      <c r="C1745" s="8" t="s">
        <v>6166</v>
      </c>
      <c r="D1745" s="9" t="s">
        <v>6167</v>
      </c>
      <c r="E1745" s="10" t="str">
        <f>HYPERLINK("https://twitter.com/bregonat/status/1070248052315836416","1070248052315836416")</f>
        <v>1070248052315836416</v>
      </c>
      <c r="F1745" s="11"/>
      <c r="G1745" s="16" t="s">
        <v>6168</v>
      </c>
      <c r="H1745" s="11"/>
      <c r="I1745" s="12">
        <v>0</v>
      </c>
      <c r="J1745" s="12">
        <v>2</v>
      </c>
      <c r="K1745" s="13" t="str">
        <f>HYPERLINK("https://mobile.twitter.com","Twitter Lite")</f>
        <v>Twitter Lite</v>
      </c>
      <c r="L1745" s="12">
        <v>236</v>
      </c>
      <c r="M1745" s="12">
        <v>145</v>
      </c>
      <c r="N1745" s="12">
        <v>0</v>
      </c>
      <c r="O1745" s="14"/>
      <c r="P1745" s="6">
        <v>41242.510844907403</v>
      </c>
      <c r="Q1745" s="15" t="s">
        <v>6169</v>
      </c>
      <c r="R1745" s="17" t="s">
        <v>6170</v>
      </c>
      <c r="S1745" s="11"/>
      <c r="T1745" s="11"/>
      <c r="U1745" s="10" t="str">
        <f>HYPERLINK("https://pbs.twimg.com/profile_images/982234825158348800/Mw__WExp.jpg","View")</f>
        <v>View</v>
      </c>
    </row>
    <row r="1746" spans="1:21" ht="40.799999999999997">
      <c r="A1746" s="6">
        <v>43439.434942129628</v>
      </c>
      <c r="B1746" s="7" t="str">
        <f>HYPERLINK("https://twitter.com/VoxTerrassa","@VoxTerrassa")</f>
        <v>@VoxTerrassa</v>
      </c>
      <c r="C1746" s="8" t="s">
        <v>3459</v>
      </c>
      <c r="D1746" s="9" t="s">
        <v>6171</v>
      </c>
      <c r="E1746" s="10" t="str">
        <f>HYPERLINK("https://twitter.com/VoxTerrassa/status/1070247987631349760","1070247987631349760")</f>
        <v>1070247987631349760</v>
      </c>
      <c r="F1746" s="16" t="s">
        <v>6172</v>
      </c>
      <c r="G1746" s="11"/>
      <c r="H1746" s="11"/>
      <c r="I1746" s="12">
        <v>0</v>
      </c>
      <c r="J1746" s="12">
        <v>0</v>
      </c>
      <c r="K1746" s="13" t="str">
        <f>HYPERLINK("http://instagram.com","Instagram")</f>
        <v>Instagram</v>
      </c>
      <c r="L1746" s="12">
        <v>125</v>
      </c>
      <c r="M1746" s="12">
        <v>53</v>
      </c>
      <c r="N1746" s="12">
        <v>1</v>
      </c>
      <c r="O1746" s="14"/>
      <c r="P1746" s="6">
        <v>43183.641932870371</v>
      </c>
      <c r="Q1746" s="15" t="s">
        <v>3461</v>
      </c>
      <c r="R1746" s="17" t="s">
        <v>3462</v>
      </c>
      <c r="S1746" s="16" t="s">
        <v>2218</v>
      </c>
      <c r="T1746" s="11"/>
      <c r="U1746" s="10" t="str">
        <f>HYPERLINK("https://pbs.twimg.com/profile_images/1053268791700930562/Tct3JseO.jpg","View")</f>
        <v>View</v>
      </c>
    </row>
    <row r="1747" spans="1:21" ht="20.399999999999999">
      <c r="A1747" s="6">
        <v>43439.434606481482</v>
      </c>
      <c r="B1747" s="7" t="str">
        <f>HYPERLINK("https://twitter.com/_Magnolia_","@_Magnolia_")</f>
        <v>@_Magnolia_</v>
      </c>
      <c r="C1747" s="8" t="s">
        <v>6173</v>
      </c>
      <c r="D1747" s="9" t="s">
        <v>6174</v>
      </c>
      <c r="E1747" s="10" t="str">
        <f>HYPERLINK("https://twitter.com/_Magnolia_/status/1070247868097794048","1070247868097794048")</f>
        <v>1070247868097794048</v>
      </c>
      <c r="F1747" s="11"/>
      <c r="G1747" s="11"/>
      <c r="H1747" s="11"/>
      <c r="I1747" s="12">
        <v>0</v>
      </c>
      <c r="J1747" s="12">
        <v>2</v>
      </c>
      <c r="K1747" s="13" t="str">
        <f>HYPERLINK("http://twitter.com/download/iphone","Twitter for iPhone")</f>
        <v>Twitter for iPhone</v>
      </c>
      <c r="L1747" s="12">
        <v>438</v>
      </c>
      <c r="M1747" s="12">
        <v>52</v>
      </c>
      <c r="N1747" s="12">
        <v>2</v>
      </c>
      <c r="O1747" s="14"/>
      <c r="P1747" s="6">
        <v>40641.983287037037</v>
      </c>
      <c r="Q1747" s="15" t="s">
        <v>1815</v>
      </c>
      <c r="R1747" s="17" t="s">
        <v>6175</v>
      </c>
      <c r="S1747" s="11"/>
      <c r="T1747" s="11"/>
      <c r="U1747" s="10" t="str">
        <f>HYPERLINK("https://pbs.twimg.com/profile_images/515868298391846912/rFzU62lU.jpeg","View")</f>
        <v>View</v>
      </c>
    </row>
    <row r="1748" spans="1:21" ht="51">
      <c r="A1748" s="6">
        <v>43439.43445601852</v>
      </c>
      <c r="B1748" s="7" t="str">
        <f>HYPERLINK("https://twitter.com/afoni_CCF","@afoni_CCF")</f>
        <v>@afoni_CCF</v>
      </c>
      <c r="C1748" s="27" t="s">
        <v>6176</v>
      </c>
      <c r="D1748" s="9" t="s">
        <v>6177</v>
      </c>
      <c r="E1748" s="10" t="str">
        <f>HYPERLINK("https://twitter.com/afoni_CCF/status/1070247812661723137","1070247812661723137")</f>
        <v>1070247812661723137</v>
      </c>
      <c r="F1748" s="11"/>
      <c r="G1748" s="11"/>
      <c r="H1748" s="11"/>
      <c r="I1748" s="12">
        <v>0</v>
      </c>
      <c r="J1748" s="12">
        <v>0</v>
      </c>
      <c r="K1748" s="13" t="str">
        <f>HYPERLINK("http://twitter.com/download/android","Twitter for Android")</f>
        <v>Twitter for Android</v>
      </c>
      <c r="L1748" s="12">
        <v>303</v>
      </c>
      <c r="M1748" s="12">
        <v>556</v>
      </c>
      <c r="N1748" s="12">
        <v>6</v>
      </c>
      <c r="O1748" s="14"/>
      <c r="P1748" s="6">
        <v>40523.544814814813</v>
      </c>
      <c r="Q1748" s="15" t="s">
        <v>6178</v>
      </c>
      <c r="R1748" s="17" t="s">
        <v>6179</v>
      </c>
      <c r="S1748" s="11"/>
      <c r="T1748" s="11"/>
      <c r="U1748" s="10" t="str">
        <f>HYPERLINK("https://pbs.twimg.com/profile_images/1029351100414144512/-p0pmdRD.jpg","View")</f>
        <v>View</v>
      </c>
    </row>
    <row r="1749" spans="1:21" ht="30.6">
      <c r="A1749" s="6">
        <v>43439.434259259258</v>
      </c>
      <c r="B1749" s="7" t="str">
        <f>HYPERLINK("https://twitter.com/gadorjoya","@gadorjoya")</f>
        <v>@gadorjoya</v>
      </c>
      <c r="C1749" s="8" t="s">
        <v>6180</v>
      </c>
      <c r="D1749" s="9" t="s">
        <v>6181</v>
      </c>
      <c r="E1749" s="10" t="str">
        <f>HYPERLINK("https://twitter.com/gadorjoya/status/1070247739815018496","1070247739815018496")</f>
        <v>1070247739815018496</v>
      </c>
      <c r="F1749" s="11"/>
      <c r="G1749" s="11"/>
      <c r="H1749" s="11"/>
      <c r="I1749" s="12">
        <v>3</v>
      </c>
      <c r="J1749" s="12">
        <v>2</v>
      </c>
      <c r="K1749" s="13" t="str">
        <f>HYPERLINK("https://mobile.twitter.com","Twitter Lite")</f>
        <v>Twitter Lite</v>
      </c>
      <c r="L1749" s="12">
        <v>6857</v>
      </c>
      <c r="M1749" s="12">
        <v>1629</v>
      </c>
      <c r="N1749" s="12">
        <v>125</v>
      </c>
      <c r="O1749" s="14"/>
      <c r="P1749" s="6">
        <v>40120.567349537036</v>
      </c>
      <c r="Q1749" s="15" t="s">
        <v>612</v>
      </c>
      <c r="R1749" s="18"/>
      <c r="S1749" s="11"/>
      <c r="T1749" s="11"/>
      <c r="U1749" s="10" t="str">
        <f>HYPERLINK("https://pbs.twimg.com/profile_images/871478927319072768/Kgou3D4F.jpg","View")</f>
        <v>View</v>
      </c>
    </row>
    <row r="1750" spans="1:21" ht="30.6">
      <c r="A1750" s="6">
        <v>43439.433634259258</v>
      </c>
      <c r="B1750" s="7" t="str">
        <f>HYPERLINK("https://twitter.com/isabelgonzalo","@isabelgonzalo")</f>
        <v>@isabelgonzalo</v>
      </c>
      <c r="C1750" s="8" t="s">
        <v>6182</v>
      </c>
      <c r="D1750" s="9" t="s">
        <v>6183</v>
      </c>
      <c r="E1750" s="10" t="str">
        <f>HYPERLINK("https://twitter.com/isabelgonzalo/status/1070247513435848705","1070247513435848705")</f>
        <v>1070247513435848705</v>
      </c>
      <c r="F1750" s="11"/>
      <c r="G1750" s="11"/>
      <c r="H1750" s="11"/>
      <c r="I1750" s="12">
        <v>0</v>
      </c>
      <c r="J1750" s="12">
        <v>1</v>
      </c>
      <c r="K1750" s="13" t="str">
        <f>HYPERLINK("http://twitter.com/download/iphone","Twitter for iPhone")</f>
        <v>Twitter for iPhone</v>
      </c>
      <c r="L1750" s="12">
        <v>1130</v>
      </c>
      <c r="M1750" s="12">
        <v>951</v>
      </c>
      <c r="N1750" s="12">
        <v>20</v>
      </c>
      <c r="O1750" s="14"/>
      <c r="P1750" s="6">
        <v>39846.022974537038</v>
      </c>
      <c r="Q1750" s="11"/>
      <c r="R1750" s="18"/>
      <c r="S1750" s="11"/>
      <c r="T1750" s="11"/>
      <c r="U1750" s="10" t="str">
        <f>HYPERLINK("https://pbs.twimg.com/profile_images/1028755077174050817/TBYDLk9c.jpg","View")</f>
        <v>View</v>
      </c>
    </row>
    <row r="1751" spans="1:21" ht="40.799999999999997">
      <c r="A1751" s="6">
        <v>43439.433368055557</v>
      </c>
      <c r="B1751" s="7" t="str">
        <f>HYPERLINK("https://twitter.com/voxnoticias_es","@voxnoticias_es")</f>
        <v>@voxnoticias_es</v>
      </c>
      <c r="C1751" s="8" t="s">
        <v>4522</v>
      </c>
      <c r="D1751" s="9" t="s">
        <v>6184</v>
      </c>
      <c r="E1751" s="10" t="str">
        <f>HYPERLINK("https://twitter.com/voxnoticias_es/status/1070247416958472192","1070247416958472192")</f>
        <v>1070247416958472192</v>
      </c>
      <c r="F1751" s="11"/>
      <c r="G1751" s="16" t="s">
        <v>6185</v>
      </c>
      <c r="H1751" s="11"/>
      <c r="I1751" s="12">
        <v>136</v>
      </c>
      <c r="J1751" s="12">
        <v>259</v>
      </c>
      <c r="K1751" s="13" t="str">
        <f>HYPERLINK("http://twitter.com/download/android","Twitter for Android")</f>
        <v>Twitter for Android</v>
      </c>
      <c r="L1751" s="12">
        <v>21631</v>
      </c>
      <c r="M1751" s="12">
        <v>2131</v>
      </c>
      <c r="N1751" s="12">
        <v>145</v>
      </c>
      <c r="O1751" s="14"/>
      <c r="P1751" s="6">
        <v>41687.875428240739</v>
      </c>
      <c r="Q1751" s="15" t="s">
        <v>4524</v>
      </c>
      <c r="R1751" s="17" t="s">
        <v>4525</v>
      </c>
      <c r="S1751" s="16" t="s">
        <v>4526</v>
      </c>
      <c r="T1751" s="11"/>
      <c r="U1751" s="10" t="str">
        <f>HYPERLINK("https://pbs.twimg.com/profile_images/900432165195980801/-2-6PzuU.jpg","View")</f>
        <v>View</v>
      </c>
    </row>
    <row r="1752" spans="1:21" ht="30.6">
      <c r="A1752" s="6">
        <v>43439.433124999996</v>
      </c>
      <c r="B1752" s="7" t="str">
        <f>HYPERLINK("https://twitter.com/MonteLuz2","@MonteLuz2")</f>
        <v>@MonteLuz2</v>
      </c>
      <c r="C1752" s="8" t="s">
        <v>1161</v>
      </c>
      <c r="D1752" s="9" t="s">
        <v>6186</v>
      </c>
      <c r="E1752" s="10" t="str">
        <f>HYPERLINK("https://twitter.com/MonteLuz2/status/1070247329259757570","1070247329259757570")</f>
        <v>1070247329259757570</v>
      </c>
      <c r="F1752" s="11"/>
      <c r="G1752" s="11"/>
      <c r="H1752" s="11"/>
      <c r="I1752" s="12">
        <v>0</v>
      </c>
      <c r="J1752" s="12">
        <v>0</v>
      </c>
      <c r="K1752" s="13" t="str">
        <f>HYPERLINK("http://twitter.com/download/iphone","Twitter for iPhone")</f>
        <v>Twitter for iPhone</v>
      </c>
      <c r="L1752" s="12">
        <v>117</v>
      </c>
      <c r="M1752" s="12">
        <v>325</v>
      </c>
      <c r="N1752" s="12">
        <v>0</v>
      </c>
      <c r="O1752" s="14"/>
      <c r="P1752" s="6">
        <v>41243.015972222223</v>
      </c>
      <c r="Q1752" s="15" t="s">
        <v>1165</v>
      </c>
      <c r="R1752" s="17" t="s">
        <v>1166</v>
      </c>
      <c r="S1752" s="11"/>
      <c r="T1752" s="11"/>
      <c r="U1752" s="10" t="str">
        <f>HYPERLINK("https://pbs.twimg.com/profile_images/2912613588/0c587ef70076ff6b090474020e1dc339.jpeg","View")</f>
        <v>View</v>
      </c>
    </row>
    <row r="1753" spans="1:21" ht="30.6">
      <c r="A1753" s="6">
        <v>43439.432928240742</v>
      </c>
      <c r="B1753" s="7" t="str">
        <f>HYPERLINK("https://twitter.com/gadorjoya","@gadorjoya")</f>
        <v>@gadorjoya</v>
      </c>
      <c r="C1753" s="8" t="s">
        <v>6180</v>
      </c>
      <c r="D1753" s="9" t="s">
        <v>6187</v>
      </c>
      <c r="E1753" s="10" t="str">
        <f>HYPERLINK("https://twitter.com/gadorjoya/status/1070247259370086400","1070247259370086400")</f>
        <v>1070247259370086400</v>
      </c>
      <c r="F1753" s="11"/>
      <c r="G1753" s="11"/>
      <c r="H1753" s="11"/>
      <c r="I1753" s="12">
        <v>1</v>
      </c>
      <c r="J1753" s="12">
        <v>2</v>
      </c>
      <c r="K1753" s="13" t="str">
        <f>HYPERLINK("https://mobile.twitter.com","Twitter Lite")</f>
        <v>Twitter Lite</v>
      </c>
      <c r="L1753" s="12">
        <v>6857</v>
      </c>
      <c r="M1753" s="12">
        <v>1629</v>
      </c>
      <c r="N1753" s="12">
        <v>125</v>
      </c>
      <c r="O1753" s="14"/>
      <c r="P1753" s="6">
        <v>40120.567349537036</v>
      </c>
      <c r="Q1753" s="15" t="s">
        <v>612</v>
      </c>
      <c r="R1753" s="18"/>
      <c r="S1753" s="11"/>
      <c r="T1753" s="11"/>
      <c r="U1753" s="10" t="str">
        <f>HYPERLINK("https://pbs.twimg.com/profile_images/871478927319072768/Kgou3D4F.jpg","View")</f>
        <v>View</v>
      </c>
    </row>
    <row r="1754" spans="1:21" ht="61.2">
      <c r="A1754" s="6">
        <v>43439.432106481487</v>
      </c>
      <c r="B1754" s="7" t="str">
        <f>HYPERLINK("https://twitter.com/silviaasensio1","@silviaasensio1")</f>
        <v>@silviaasensio1</v>
      </c>
      <c r="C1754" s="8" t="s">
        <v>6188</v>
      </c>
      <c r="D1754" s="9" t="s">
        <v>6189</v>
      </c>
      <c r="E1754" s="10" t="str">
        <f>HYPERLINK("https://twitter.com/silviaasensio1/status/1070246962119757826","1070246962119757826")</f>
        <v>1070246962119757826</v>
      </c>
      <c r="F1754" s="11"/>
      <c r="G1754" s="11"/>
      <c r="H1754" s="11"/>
      <c r="I1754" s="12">
        <v>2</v>
      </c>
      <c r="J1754" s="12">
        <v>3</v>
      </c>
      <c r="K1754" s="13" t="str">
        <f t="shared" ref="K1754:K1755" si="396">HYPERLINK("http://twitter.com/download/android","Twitter for Android")</f>
        <v>Twitter for Android</v>
      </c>
      <c r="L1754" s="12">
        <v>91</v>
      </c>
      <c r="M1754" s="12">
        <v>213</v>
      </c>
      <c r="N1754" s="12">
        <v>3</v>
      </c>
      <c r="O1754" s="14"/>
      <c r="P1754" s="6">
        <v>40870.784328703703</v>
      </c>
      <c r="Q1754" s="15" t="s">
        <v>6190</v>
      </c>
      <c r="R1754" s="17" t="s">
        <v>6191</v>
      </c>
      <c r="S1754" s="11"/>
      <c r="T1754" s="11"/>
      <c r="U1754" s="10" t="str">
        <f>HYPERLINK("https://pbs.twimg.com/profile_images/939993178832297987/q_0veDNp.jpg","View")</f>
        <v>View</v>
      </c>
    </row>
    <row r="1755" spans="1:21" ht="51">
      <c r="A1755" s="6">
        <v>43439.431307870371</v>
      </c>
      <c r="B1755" s="7" t="str">
        <f>HYPERLINK("https://twitter.com/Writer1971","@Writer1971")</f>
        <v>@Writer1971</v>
      </c>
      <c r="C1755" s="8" t="s">
        <v>6192</v>
      </c>
      <c r="D1755" s="9" t="s">
        <v>6193</v>
      </c>
      <c r="E1755" s="10" t="str">
        <f>HYPERLINK("https://twitter.com/Writer1971/status/1070246673299976192","1070246673299976192")</f>
        <v>1070246673299976192</v>
      </c>
      <c r="F1755" s="11"/>
      <c r="G1755" s="11"/>
      <c r="H1755" s="11"/>
      <c r="I1755" s="12">
        <v>0</v>
      </c>
      <c r="J1755" s="12">
        <v>0</v>
      </c>
      <c r="K1755" s="13" t="str">
        <f t="shared" si="396"/>
        <v>Twitter for Android</v>
      </c>
      <c r="L1755" s="12">
        <v>1254</v>
      </c>
      <c r="M1755" s="12">
        <v>785</v>
      </c>
      <c r="N1755" s="12">
        <v>6</v>
      </c>
      <c r="O1755" s="14"/>
      <c r="P1755" s="6">
        <v>40255.928182870368</v>
      </c>
      <c r="Q1755" s="15" t="s">
        <v>2875</v>
      </c>
      <c r="R1755" s="17" t="s">
        <v>6194</v>
      </c>
      <c r="S1755" s="16" t="s">
        <v>6195</v>
      </c>
      <c r="T1755" s="11"/>
      <c r="U1755" s="10" t="str">
        <f>HYPERLINK("https://pbs.twimg.com/profile_images/1060484365044629504/l4Q3PX8q.jpg","View")</f>
        <v>View</v>
      </c>
    </row>
    <row r="1756" spans="1:21" ht="51">
      <c r="A1756" s="6">
        <v>43439.430787037039</v>
      </c>
      <c r="B1756" s="7" t="str">
        <f>HYPERLINK("https://twitter.com/batiralibex35","@batiralibex35")</f>
        <v>@batiralibex35</v>
      </c>
      <c r="C1756" s="8" t="s">
        <v>6196</v>
      </c>
      <c r="D1756" s="9" t="s">
        <v>6197</v>
      </c>
      <c r="E1756" s="10" t="str">
        <f>HYPERLINK("https://twitter.com/batiralibex35/status/1070246484199858176","1070246484199858176")</f>
        <v>1070246484199858176</v>
      </c>
      <c r="F1756" s="11"/>
      <c r="G1756" s="11"/>
      <c r="H1756" s="11"/>
      <c r="I1756" s="12">
        <v>0</v>
      </c>
      <c r="J1756" s="12">
        <v>2</v>
      </c>
      <c r="K1756" s="13" t="str">
        <f>HYPERLINK("http://twitter.com/#!/download/ipad","Twitter for iPad")</f>
        <v>Twitter for iPad</v>
      </c>
      <c r="L1756" s="12">
        <v>5194</v>
      </c>
      <c r="M1756" s="12">
        <v>540</v>
      </c>
      <c r="N1756" s="12">
        <v>230</v>
      </c>
      <c r="O1756" s="14"/>
      <c r="P1756" s="6">
        <v>40885.369143518517</v>
      </c>
      <c r="Q1756" s="15" t="s">
        <v>2080</v>
      </c>
      <c r="R1756" s="17" t="s">
        <v>6198</v>
      </c>
      <c r="S1756" s="16" t="s">
        <v>6199</v>
      </c>
      <c r="T1756" s="11"/>
      <c r="U1756" s="10" t="str">
        <f>HYPERLINK("https://pbs.twimg.com/profile_images/1043845885757706240/TUlUd_zE.jpg","View")</f>
        <v>View</v>
      </c>
    </row>
    <row r="1757" spans="1:21" ht="40.799999999999997">
      <c r="A1757" s="6">
        <v>43439.430567129632</v>
      </c>
      <c r="B1757" s="7" t="str">
        <f>HYPERLINK("https://twitter.com/MonteLuz2","@MonteLuz2")</f>
        <v>@MonteLuz2</v>
      </c>
      <c r="C1757" s="8" t="s">
        <v>1161</v>
      </c>
      <c r="D1757" s="9" t="s">
        <v>6200</v>
      </c>
      <c r="E1757" s="10" t="str">
        <f>HYPERLINK("https://twitter.com/MonteLuz2/status/1070246405590183941","1070246405590183941")</f>
        <v>1070246405590183941</v>
      </c>
      <c r="F1757" s="11"/>
      <c r="G1757" s="11"/>
      <c r="H1757" s="11"/>
      <c r="I1757" s="12">
        <v>0</v>
      </c>
      <c r="J1757" s="12">
        <v>1</v>
      </c>
      <c r="K1757" s="13" t="str">
        <f>HYPERLINK("http://twitter.com/download/iphone","Twitter for iPhone")</f>
        <v>Twitter for iPhone</v>
      </c>
      <c r="L1757" s="12">
        <v>117</v>
      </c>
      <c r="M1757" s="12">
        <v>325</v>
      </c>
      <c r="N1757" s="12">
        <v>0</v>
      </c>
      <c r="O1757" s="14"/>
      <c r="P1757" s="6">
        <v>41243.015972222223</v>
      </c>
      <c r="Q1757" s="15" t="s">
        <v>1165</v>
      </c>
      <c r="R1757" s="17" t="s">
        <v>1166</v>
      </c>
      <c r="S1757" s="11"/>
      <c r="T1757" s="11"/>
      <c r="U1757" s="10" t="str">
        <f>HYPERLINK("https://pbs.twimg.com/profile_images/2912613588/0c587ef70076ff6b090474020e1dc339.jpeg","View")</f>
        <v>View</v>
      </c>
    </row>
    <row r="1758" spans="1:21" ht="40.799999999999997">
      <c r="A1758" s="6">
        <v>43439.430474537032</v>
      </c>
      <c r="B1758" s="7" t="str">
        <f>HYPERLINK("https://twitter.com/mavarosg","@mavarosg")</f>
        <v>@mavarosg</v>
      </c>
      <c r="C1758" s="8" t="s">
        <v>6201</v>
      </c>
      <c r="D1758" s="9" t="s">
        <v>6202</v>
      </c>
      <c r="E1758" s="10" t="str">
        <f>HYPERLINK("https://twitter.com/mavarosg/status/1070246371788230656","1070246371788230656")</f>
        <v>1070246371788230656</v>
      </c>
      <c r="F1758" s="11"/>
      <c r="G1758" s="11"/>
      <c r="H1758" s="11"/>
      <c r="I1758" s="12">
        <v>2</v>
      </c>
      <c r="J1758" s="12">
        <v>5</v>
      </c>
      <c r="K1758" s="13" t="str">
        <f t="shared" ref="K1758:K1760" si="397">HYPERLINK("http://twitter.com/download/android","Twitter for Android")</f>
        <v>Twitter for Android</v>
      </c>
      <c r="L1758" s="12">
        <v>5268</v>
      </c>
      <c r="M1758" s="12">
        <v>4770</v>
      </c>
      <c r="N1758" s="12">
        <v>51</v>
      </c>
      <c r="O1758" s="14"/>
      <c r="P1758" s="6">
        <v>42109.021006944444</v>
      </c>
      <c r="Q1758" s="15" t="s">
        <v>6203</v>
      </c>
      <c r="R1758" s="17" t="s">
        <v>6204</v>
      </c>
      <c r="S1758" s="16" t="s">
        <v>6205</v>
      </c>
      <c r="T1758" s="11"/>
      <c r="U1758" s="10" t="str">
        <f>HYPERLINK("https://pbs.twimg.com/profile_images/1029633392927756288/_QmR5ndr.jpg","View")</f>
        <v>View</v>
      </c>
    </row>
    <row r="1759" spans="1:21" ht="51">
      <c r="A1759" s="6">
        <v>43439.430173611108</v>
      </c>
      <c r="B1759" s="7" t="str">
        <f>HYPERLINK("https://twitter.com/silvia0907","@silvia0907")</f>
        <v>@silvia0907</v>
      </c>
      <c r="C1759" s="8" t="s">
        <v>4541</v>
      </c>
      <c r="D1759" s="9" t="s">
        <v>6206</v>
      </c>
      <c r="E1759" s="10" t="str">
        <f>HYPERLINK("https://twitter.com/silvia0907/status/1070246261088022528","1070246261088022528")</f>
        <v>1070246261088022528</v>
      </c>
      <c r="F1759" s="11"/>
      <c r="G1759" s="11"/>
      <c r="H1759" s="11"/>
      <c r="I1759" s="12">
        <v>6</v>
      </c>
      <c r="J1759" s="12">
        <v>16</v>
      </c>
      <c r="K1759" s="13" t="str">
        <f t="shared" si="397"/>
        <v>Twitter for Android</v>
      </c>
      <c r="L1759" s="12">
        <v>3671</v>
      </c>
      <c r="M1759" s="12">
        <v>63</v>
      </c>
      <c r="N1759" s="12">
        <v>53</v>
      </c>
      <c r="O1759" s="14"/>
      <c r="P1759" s="6">
        <v>41394.656006944446</v>
      </c>
      <c r="Q1759" s="15" t="s">
        <v>612</v>
      </c>
      <c r="R1759" s="17" t="s">
        <v>4544</v>
      </c>
      <c r="S1759" s="11"/>
      <c r="T1759" s="11"/>
      <c r="U1759" s="10" t="str">
        <f>HYPERLINK("https://pbs.twimg.com/profile_images/967044247273791489/I3V7XbPG.jpg","View")</f>
        <v>View</v>
      </c>
    </row>
    <row r="1760" spans="1:21" ht="40.799999999999997">
      <c r="A1760" s="6">
        <v>43439.43005787037</v>
      </c>
      <c r="B1760" s="7" t="str">
        <f>HYPERLINK("https://twitter.com/angiemg82","@angiemg82")</f>
        <v>@angiemg82</v>
      </c>
      <c r="C1760" s="8" t="s">
        <v>6207</v>
      </c>
      <c r="D1760" s="9" t="s">
        <v>6208</v>
      </c>
      <c r="E1760" s="10" t="str">
        <f>HYPERLINK("https://twitter.com/angiemg82/status/1070246218733883394","1070246218733883394")</f>
        <v>1070246218733883394</v>
      </c>
      <c r="F1760" s="11"/>
      <c r="G1760" s="11"/>
      <c r="H1760" s="11"/>
      <c r="I1760" s="12">
        <v>0</v>
      </c>
      <c r="J1760" s="12">
        <v>0</v>
      </c>
      <c r="K1760" s="13" t="str">
        <f t="shared" si="397"/>
        <v>Twitter for Android</v>
      </c>
      <c r="L1760" s="12">
        <v>3059</v>
      </c>
      <c r="M1760" s="12">
        <v>272</v>
      </c>
      <c r="N1760" s="12">
        <v>59</v>
      </c>
      <c r="O1760" s="14"/>
      <c r="P1760" s="6">
        <v>41295.913715277777</v>
      </c>
      <c r="Q1760" s="15" t="s">
        <v>612</v>
      </c>
      <c r="R1760" s="17" t="s">
        <v>6209</v>
      </c>
      <c r="S1760" s="16" t="s">
        <v>6210</v>
      </c>
      <c r="T1760" s="11"/>
      <c r="U1760" s="10" t="str">
        <f>HYPERLINK("https://pbs.twimg.com/profile_images/974021596800323587/G2c5Qwth.jpg","View")</f>
        <v>View</v>
      </c>
    </row>
    <row r="1761" spans="1:21" ht="51">
      <c r="A1761" s="6">
        <v>43439.429409722223</v>
      </c>
      <c r="B1761" s="7" t="str">
        <f>HYPERLINK("https://twitter.com/quemeliao","@quemeliao")</f>
        <v>@quemeliao</v>
      </c>
      <c r="C1761" s="8" t="s">
        <v>6211</v>
      </c>
      <c r="D1761" s="9" t="s">
        <v>6212</v>
      </c>
      <c r="E1761" s="10" t="str">
        <f>HYPERLINK("https://twitter.com/quemeliao/status/1070245983408320513","1070245983408320513")</f>
        <v>1070245983408320513</v>
      </c>
      <c r="F1761" s="11"/>
      <c r="G1761" s="11"/>
      <c r="H1761" s="11"/>
      <c r="I1761" s="12">
        <v>1</v>
      </c>
      <c r="J1761" s="12">
        <v>6</v>
      </c>
      <c r="K1761" s="13" t="str">
        <f>HYPERLINK("http://twitter.com/download/iphone","Twitter for iPhone")</f>
        <v>Twitter for iPhone</v>
      </c>
      <c r="L1761" s="12">
        <v>111</v>
      </c>
      <c r="M1761" s="12">
        <v>403</v>
      </c>
      <c r="N1761" s="12">
        <v>4</v>
      </c>
      <c r="O1761" s="14"/>
      <c r="P1761" s="6">
        <v>40768.996608796297</v>
      </c>
      <c r="Q1761" s="15" t="s">
        <v>197</v>
      </c>
      <c r="R1761" s="17" t="s">
        <v>6213</v>
      </c>
      <c r="S1761" s="11"/>
      <c r="T1761" s="11"/>
      <c r="U1761" s="10" t="str">
        <f>HYPERLINK("https://pbs.twimg.com/profile_images/644773512532619264/AyWkor2N.jpg","View")</f>
        <v>View</v>
      </c>
    </row>
    <row r="1762" spans="1:21" ht="13.2">
      <c r="A1762" s="6">
        <v>43439.429398148146</v>
      </c>
      <c r="B1762" s="7" t="str">
        <f>HYPERLINK("https://twitter.com/UgenaRuth","@UgenaRuth")</f>
        <v>@UgenaRuth</v>
      </c>
      <c r="C1762" s="8" t="s">
        <v>6214</v>
      </c>
      <c r="D1762" s="9" t="s">
        <v>6215</v>
      </c>
      <c r="E1762" s="10" t="str">
        <f>HYPERLINK("https://twitter.com/UgenaRuth/status/1070245979612504064","1070245979612504064")</f>
        <v>1070245979612504064</v>
      </c>
      <c r="F1762" s="11"/>
      <c r="G1762" s="11"/>
      <c r="H1762" s="11"/>
      <c r="I1762" s="12">
        <v>0</v>
      </c>
      <c r="J1762" s="12">
        <v>1</v>
      </c>
      <c r="K1762" s="13" t="str">
        <f>HYPERLINK("http://twitter.com/download/android","Twitter for Android")</f>
        <v>Twitter for Android</v>
      </c>
      <c r="L1762" s="12">
        <v>39</v>
      </c>
      <c r="M1762" s="12">
        <v>47</v>
      </c>
      <c r="N1762" s="12">
        <v>0</v>
      </c>
      <c r="O1762" s="14"/>
      <c r="P1762" s="6">
        <v>43238.655914351853</v>
      </c>
      <c r="Q1762" s="11"/>
      <c r="R1762" s="18"/>
      <c r="S1762" s="11"/>
      <c r="T1762" s="11"/>
      <c r="U1762" s="10" t="str">
        <f>HYPERLINK("https://pbs.twimg.com/profile_images/1038349790436843520/N3mgK6W4.jpg","View")</f>
        <v>View</v>
      </c>
    </row>
    <row r="1763" spans="1:21" ht="20.399999999999999">
      <c r="A1763" s="6">
        <v>43439.428912037038</v>
      </c>
      <c r="B1763" s="7" t="str">
        <f>HYPERLINK("https://twitter.com/PabloCoripeSFC","@PabloCoripeSFC")</f>
        <v>@PabloCoripeSFC</v>
      </c>
      <c r="C1763" s="8" t="s">
        <v>6216</v>
      </c>
      <c r="D1763" s="9" t="s">
        <v>6217</v>
      </c>
      <c r="E1763" s="10" t="str">
        <f>HYPERLINK("https://twitter.com/PabloCoripeSFC/status/1070245804957413376","1070245804957413376")</f>
        <v>1070245804957413376</v>
      </c>
      <c r="F1763" s="11"/>
      <c r="G1763" s="11"/>
      <c r="H1763" s="11"/>
      <c r="I1763" s="12">
        <v>0</v>
      </c>
      <c r="J1763" s="12">
        <v>0</v>
      </c>
      <c r="K1763" s="13" t="str">
        <f>HYPERLINK("http://twitter.com/download/iphone","Twitter for iPhone")</f>
        <v>Twitter for iPhone</v>
      </c>
      <c r="L1763" s="12">
        <v>285</v>
      </c>
      <c r="M1763" s="12">
        <v>464</v>
      </c>
      <c r="N1763" s="12">
        <v>1</v>
      </c>
      <c r="O1763" s="14"/>
      <c r="P1763" s="6">
        <v>40982.722094907411</v>
      </c>
      <c r="Q1763" s="11"/>
      <c r="R1763" s="17" t="s">
        <v>6218</v>
      </c>
      <c r="S1763" s="11"/>
      <c r="T1763" s="11"/>
      <c r="U1763" s="10" t="str">
        <f>HYPERLINK("https://pbs.twimg.com/profile_images/1026856240306159621/yhQHuq4r.jpg","View")</f>
        <v>View</v>
      </c>
    </row>
    <row r="1764" spans="1:21" ht="51">
      <c r="A1764" s="6">
        <v>43439.428900462968</v>
      </c>
      <c r="B1764" s="7" t="str">
        <f>HYPERLINK("https://twitter.com/NewsVero","@NewsVero")</f>
        <v>@NewsVero</v>
      </c>
      <c r="C1764" s="8" t="s">
        <v>6219</v>
      </c>
      <c r="D1764" s="9" t="s">
        <v>6220</v>
      </c>
      <c r="E1764" s="10" t="str">
        <f>HYPERLINK("https://twitter.com/NewsVero/status/1070245797898395648","1070245797898395648")</f>
        <v>1070245797898395648</v>
      </c>
      <c r="F1764" s="11"/>
      <c r="G1764" s="16" t="s">
        <v>6221</v>
      </c>
      <c r="H1764" s="11"/>
      <c r="I1764" s="12">
        <v>0</v>
      </c>
      <c r="J1764" s="12">
        <v>0</v>
      </c>
      <c r="K1764" s="13" t="str">
        <f>HYPERLINK("https://about.twitter.com/products/tweetdeck","TweetDeck")</f>
        <v>TweetDeck</v>
      </c>
      <c r="L1764" s="12">
        <v>713</v>
      </c>
      <c r="M1764" s="12">
        <v>632</v>
      </c>
      <c r="N1764" s="12">
        <v>8</v>
      </c>
      <c r="O1764" s="14"/>
      <c r="P1764" s="6">
        <v>41112.468217592592</v>
      </c>
      <c r="Q1764" s="15" t="s">
        <v>6222</v>
      </c>
      <c r="R1764" s="17" t="s">
        <v>6223</v>
      </c>
      <c r="S1764" s="16" t="s">
        <v>6224</v>
      </c>
      <c r="T1764" s="11"/>
      <c r="U1764" s="10" t="str">
        <f>HYPERLINK("https://pbs.twimg.com/profile_images/1069509129725755392/tZEuKfub.jpg","View")</f>
        <v>View</v>
      </c>
    </row>
    <row r="1765" spans="1:21" ht="40.799999999999997">
      <c r="A1765" s="6">
        <v>43439.428611111114</v>
      </c>
      <c r="B1765" s="7" t="str">
        <f>HYPERLINK("https://twitter.com/Masby1","@Masby1")</f>
        <v>@Masby1</v>
      </c>
      <c r="C1765" s="8" t="s">
        <v>6225</v>
      </c>
      <c r="D1765" s="9" t="s">
        <v>6226</v>
      </c>
      <c r="E1765" s="10" t="str">
        <f>HYPERLINK("https://twitter.com/Masby1/status/1070245692713693185","1070245692713693185")</f>
        <v>1070245692713693185</v>
      </c>
      <c r="F1765" s="16" t="s">
        <v>6227</v>
      </c>
      <c r="G1765" s="11"/>
      <c r="H1765" s="11"/>
      <c r="I1765" s="12">
        <v>6</v>
      </c>
      <c r="J1765" s="12">
        <v>3</v>
      </c>
      <c r="K1765" s="13" t="str">
        <f>HYPERLINK("http://twitter.com","Twitter Web Client")</f>
        <v>Twitter Web Client</v>
      </c>
      <c r="L1765" s="12">
        <v>8951</v>
      </c>
      <c r="M1765" s="12">
        <v>2169</v>
      </c>
      <c r="N1765" s="12">
        <v>94</v>
      </c>
      <c r="O1765" s="14"/>
      <c r="P1765" s="6">
        <v>40450.908495370371</v>
      </c>
      <c r="Q1765" s="15" t="s">
        <v>197</v>
      </c>
      <c r="R1765" s="17" t="s">
        <v>6228</v>
      </c>
      <c r="S1765" s="16" t="s">
        <v>6229</v>
      </c>
      <c r="T1765" s="11"/>
      <c r="U1765" s="10" t="str">
        <f>HYPERLINK("https://pbs.twimg.com/profile_images/1133978391/masby.jpg","View")</f>
        <v>View</v>
      </c>
    </row>
    <row r="1766" spans="1:21" ht="51">
      <c r="A1766" s="6">
        <v>43439.428495370375</v>
      </c>
      <c r="B1766" s="7" t="str">
        <f>HYPERLINK("https://twitter.com/aalonso481","@aalonso481")</f>
        <v>@aalonso481</v>
      </c>
      <c r="C1766" s="8" t="s">
        <v>6230</v>
      </c>
      <c r="D1766" s="9" t="s">
        <v>6231</v>
      </c>
      <c r="E1766" s="10" t="str">
        <f>HYPERLINK("https://twitter.com/aalonso481/status/1070245652548988928","1070245652548988928")</f>
        <v>1070245652548988928</v>
      </c>
      <c r="F1766" s="16" t="s">
        <v>6232</v>
      </c>
      <c r="G1766" s="11"/>
      <c r="H1766" s="11"/>
      <c r="I1766" s="12">
        <v>1</v>
      </c>
      <c r="J1766" s="12">
        <v>4</v>
      </c>
      <c r="K1766" s="13" t="str">
        <f>HYPERLINK("https://mobile.twitter.com","Twitter Lite")</f>
        <v>Twitter Lite</v>
      </c>
      <c r="L1766" s="12">
        <v>178</v>
      </c>
      <c r="M1766" s="12">
        <v>307</v>
      </c>
      <c r="N1766" s="12">
        <v>7</v>
      </c>
      <c r="O1766" s="14"/>
      <c r="P1766" s="6">
        <v>40753.843402777777</v>
      </c>
      <c r="Q1766" s="15" t="s">
        <v>6233</v>
      </c>
      <c r="R1766" s="17" t="s">
        <v>6234</v>
      </c>
      <c r="S1766" s="11"/>
      <c r="T1766" s="11"/>
      <c r="U1766" s="10" t="str">
        <f>HYPERLINK("https://pbs.twimg.com/profile_images/1061401821481234432/1EOk0kiz.jpg","View")</f>
        <v>View</v>
      </c>
    </row>
    <row r="1767" spans="1:21" ht="61.2">
      <c r="A1767" s="6">
        <v>43439.42832175926</v>
      </c>
      <c r="B1767" s="7" t="str">
        <f>HYPERLINK("https://twitter.com/Pepeinfierno","@Pepeinfierno")</f>
        <v>@Pepeinfierno</v>
      </c>
      <c r="C1767" s="8" t="s">
        <v>6235</v>
      </c>
      <c r="D1767" s="9" t="s">
        <v>6236</v>
      </c>
      <c r="E1767" s="10" t="str">
        <f>HYPERLINK("https://twitter.com/Pepeinfierno/status/1070245590506840065","1070245590506840065")</f>
        <v>1070245590506840065</v>
      </c>
      <c r="F1767" s="11"/>
      <c r="G1767" s="11"/>
      <c r="H1767" s="11"/>
      <c r="I1767" s="12">
        <v>1196</v>
      </c>
      <c r="J1767" s="12">
        <v>2546</v>
      </c>
      <c r="K1767" s="13" t="str">
        <f>HYPERLINK("http://twitter.com","Twitter Web Client")</f>
        <v>Twitter Web Client</v>
      </c>
      <c r="L1767" s="12">
        <v>217</v>
      </c>
      <c r="M1767" s="12">
        <v>30</v>
      </c>
      <c r="N1767" s="12">
        <v>1</v>
      </c>
      <c r="O1767" s="14"/>
      <c r="P1767" s="6">
        <v>42952.289293981477</v>
      </c>
      <c r="Q1767" s="11"/>
      <c r="R1767" s="17" t="s">
        <v>6237</v>
      </c>
      <c r="S1767" s="11"/>
      <c r="T1767" s="11"/>
      <c r="U1767" s="10" t="str">
        <f>HYPERLINK("https://pbs.twimg.com/profile_images/981473222716739585/JILFkVEZ.jpg","View")</f>
        <v>View</v>
      </c>
    </row>
    <row r="1768" spans="1:21" ht="30.6">
      <c r="A1768" s="6">
        <v>43439.428182870368</v>
      </c>
      <c r="B1768" s="7" t="str">
        <f>HYPERLINK("https://twitter.com/MARIAPerezFern","@MARIAPerezFern")</f>
        <v>@MARIAPerezFern</v>
      </c>
      <c r="C1768" s="8" t="s">
        <v>6238</v>
      </c>
      <c r="D1768" s="9" t="s">
        <v>6239</v>
      </c>
      <c r="E1768" s="10" t="str">
        <f>HYPERLINK("https://twitter.com/MARIAPerezFern/status/1070245538216452096","1070245538216452096")</f>
        <v>1070245538216452096</v>
      </c>
      <c r="F1768" s="11"/>
      <c r="G1768" s="11"/>
      <c r="H1768" s="11"/>
      <c r="I1768" s="12">
        <v>0</v>
      </c>
      <c r="J1768" s="12">
        <v>4</v>
      </c>
      <c r="K1768" s="13" t="str">
        <f t="shared" ref="K1768:K1769" si="398">HYPERLINK("http://twitter.com/download/android","Twitter for Android")</f>
        <v>Twitter for Android</v>
      </c>
      <c r="L1768" s="12">
        <v>2192</v>
      </c>
      <c r="M1768" s="12">
        <v>2224</v>
      </c>
      <c r="N1768" s="12">
        <v>32</v>
      </c>
      <c r="O1768" s="14"/>
      <c r="P1768" s="6">
        <v>41458.632418981484</v>
      </c>
      <c r="Q1768" s="15" t="s">
        <v>5629</v>
      </c>
      <c r="R1768" s="17" t="s">
        <v>6240</v>
      </c>
      <c r="S1768" s="11"/>
      <c r="T1768" s="11"/>
      <c r="U1768" s="10" t="str">
        <f>HYPERLINK("https://pbs.twimg.com/profile_images/1062830273992318976/xCF0muOM.jpg","View")</f>
        <v>View</v>
      </c>
    </row>
    <row r="1769" spans="1:21" ht="51">
      <c r="A1769" s="6">
        <v>43439.428078703699</v>
      </c>
      <c r="B1769" s="7" t="str">
        <f>HYPERLINK("https://twitter.com/miguela53733242","@miguela53733242")</f>
        <v>@miguela53733242</v>
      </c>
      <c r="C1769" s="8" t="s">
        <v>6241</v>
      </c>
      <c r="D1769" s="9" t="s">
        <v>6242</v>
      </c>
      <c r="E1769" s="10" t="str">
        <f>HYPERLINK("https://twitter.com/miguela53733242/status/1070245500543209472","1070245500543209472")</f>
        <v>1070245500543209472</v>
      </c>
      <c r="F1769" s="11"/>
      <c r="G1769" s="11"/>
      <c r="H1769" s="11"/>
      <c r="I1769" s="12">
        <v>0</v>
      </c>
      <c r="J1769" s="12">
        <v>0</v>
      </c>
      <c r="K1769" s="13" t="str">
        <f t="shared" si="398"/>
        <v>Twitter for Android</v>
      </c>
      <c r="L1769" s="12">
        <v>1354</v>
      </c>
      <c r="M1769" s="12">
        <v>2713</v>
      </c>
      <c r="N1769" s="12">
        <v>23</v>
      </c>
      <c r="O1769" s="14"/>
      <c r="P1769" s="6">
        <v>41351.54074074074</v>
      </c>
      <c r="Q1769" s="11"/>
      <c r="R1769" s="17" t="s">
        <v>6243</v>
      </c>
      <c r="S1769" s="11"/>
      <c r="T1769" s="11"/>
      <c r="U1769" s="10" t="str">
        <f>HYPERLINK("https://pbs.twimg.com/profile_images/948998483528253441/_0F7ag4g.jpg","View")</f>
        <v>View</v>
      </c>
    </row>
    <row r="1770" spans="1:21" ht="40.799999999999997">
      <c r="A1770" s="6">
        <v>43439.42732638889</v>
      </c>
      <c r="B1770" s="7" t="str">
        <f>HYPERLINK("https://twitter.com/gadorjoya","@gadorjoya")</f>
        <v>@gadorjoya</v>
      </c>
      <c r="C1770" s="8" t="s">
        <v>6180</v>
      </c>
      <c r="D1770" s="9" t="s">
        <v>6244</v>
      </c>
      <c r="E1770" s="10" t="str">
        <f>HYPERLINK("https://twitter.com/gadorjoya/status/1070245229926735873","1070245229926735873")</f>
        <v>1070245229926735873</v>
      </c>
      <c r="F1770" s="11"/>
      <c r="G1770" s="11"/>
      <c r="H1770" s="11"/>
      <c r="I1770" s="12">
        <v>2</v>
      </c>
      <c r="J1770" s="12">
        <v>4</v>
      </c>
      <c r="K1770" s="13" t="str">
        <f>HYPERLINK("https://mobile.twitter.com","Twitter Lite")</f>
        <v>Twitter Lite</v>
      </c>
      <c r="L1770" s="12">
        <v>6857</v>
      </c>
      <c r="M1770" s="12">
        <v>1629</v>
      </c>
      <c r="N1770" s="12">
        <v>125</v>
      </c>
      <c r="O1770" s="14"/>
      <c r="P1770" s="6">
        <v>40120.567349537036</v>
      </c>
      <c r="Q1770" s="15" t="s">
        <v>612</v>
      </c>
      <c r="R1770" s="18"/>
      <c r="S1770" s="11"/>
      <c r="T1770" s="11"/>
      <c r="U1770" s="10" t="str">
        <f>HYPERLINK("https://pbs.twimg.com/profile_images/871478927319072768/Kgou3D4F.jpg","View")</f>
        <v>View</v>
      </c>
    </row>
    <row r="1771" spans="1:21" ht="51">
      <c r="A1771" s="6">
        <v>43439.427199074074</v>
      </c>
      <c r="B1771" s="7" t="str">
        <f>HYPERLINK("https://twitter.com/FranAM1979","@FranAM1979")</f>
        <v>@FranAM1979</v>
      </c>
      <c r="C1771" s="8" t="s">
        <v>6245</v>
      </c>
      <c r="D1771" s="9" t="s">
        <v>6246</v>
      </c>
      <c r="E1771" s="10" t="str">
        <f>HYPERLINK("https://twitter.com/FranAM1979/status/1070245181226696704","1070245181226696704")</f>
        <v>1070245181226696704</v>
      </c>
      <c r="F1771" s="11"/>
      <c r="G1771" s="11"/>
      <c r="H1771" s="11"/>
      <c r="I1771" s="12">
        <v>0</v>
      </c>
      <c r="J1771" s="12">
        <v>4</v>
      </c>
      <c r="K1771" s="13" t="str">
        <f>HYPERLINK("http://twitter.com/download/android","Twitter for Android")</f>
        <v>Twitter for Android</v>
      </c>
      <c r="L1771" s="12">
        <v>107</v>
      </c>
      <c r="M1771" s="12">
        <v>257</v>
      </c>
      <c r="N1771" s="12">
        <v>1</v>
      </c>
      <c r="O1771" s="14"/>
      <c r="P1771" s="6">
        <v>41473.642268518517</v>
      </c>
      <c r="Q1771" s="15" t="s">
        <v>6247</v>
      </c>
      <c r="R1771" s="17" t="s">
        <v>6248</v>
      </c>
      <c r="S1771" s="11"/>
      <c r="T1771" s="11"/>
      <c r="U1771" s="10" t="str">
        <f>HYPERLINK("https://pbs.twimg.com/profile_images/986010950196252673/66ffyG1a.jpg","View")</f>
        <v>View</v>
      </c>
    </row>
    <row r="1772" spans="1:21" ht="30.6">
      <c r="A1772" s="6">
        <v>43439.427175925928</v>
      </c>
      <c r="B1772" s="7" t="str">
        <f>HYPERLINK("https://twitter.com/abccordoba","@abccordoba")</f>
        <v>@abccordoba</v>
      </c>
      <c r="C1772" s="8" t="s">
        <v>6249</v>
      </c>
      <c r="D1772" s="9" t="s">
        <v>6250</v>
      </c>
      <c r="E1772" s="10" t="str">
        <f>HYPERLINK("https://twitter.com/abccordoba/status/1070245173098147840","1070245173098147840")</f>
        <v>1070245173098147840</v>
      </c>
      <c r="F1772" s="16" t="s">
        <v>6251</v>
      </c>
      <c r="G1772" s="16" t="s">
        <v>6252</v>
      </c>
      <c r="H1772" s="11"/>
      <c r="I1772" s="12">
        <v>1</v>
      </c>
      <c r="J1772" s="12">
        <v>0</v>
      </c>
      <c r="K1772" s="13" t="str">
        <f>HYPERLINK("https://www.hootsuite.com","Hootsuite Inc.")</f>
        <v>Hootsuite Inc.</v>
      </c>
      <c r="L1772" s="12">
        <v>17045</v>
      </c>
      <c r="M1772" s="12">
        <v>186</v>
      </c>
      <c r="N1772" s="12">
        <v>280</v>
      </c>
      <c r="O1772" s="23" t="s">
        <v>89</v>
      </c>
      <c r="P1772" s="6">
        <v>40953.496388888889</v>
      </c>
      <c r="Q1772" s="15" t="s">
        <v>6253</v>
      </c>
      <c r="R1772" s="17" t="s">
        <v>6254</v>
      </c>
      <c r="S1772" s="16" t="s">
        <v>6255</v>
      </c>
      <c r="T1772" s="11"/>
      <c r="U1772" s="10" t="str">
        <f>HYPERLINK("https://pbs.twimg.com/profile_images/909717148209213440/1_AJoKfZ.jpg","View")</f>
        <v>View</v>
      </c>
    </row>
    <row r="1773" spans="1:21" ht="30.6">
      <c r="A1773" s="6">
        <v>43439.427175925928</v>
      </c>
      <c r="B1773" s="7" t="str">
        <f>HYPERLINK("https://twitter.com/nihilistos","@nihilistos")</f>
        <v>@nihilistos</v>
      </c>
      <c r="C1773" s="8" t="s">
        <v>6256</v>
      </c>
      <c r="D1773" s="9" t="s">
        <v>6257</v>
      </c>
      <c r="E1773" s="10" t="str">
        <f>HYPERLINK("https://twitter.com/nihilistos/status/1070245172695482368","1070245172695482368")</f>
        <v>1070245172695482368</v>
      </c>
      <c r="F1773" s="11"/>
      <c r="G1773" s="11"/>
      <c r="H1773" s="11"/>
      <c r="I1773" s="12">
        <v>0</v>
      </c>
      <c r="J1773" s="12">
        <v>1</v>
      </c>
      <c r="K1773" s="13" t="str">
        <f t="shared" ref="K1773:K1775" si="399">HYPERLINK("http://twitter.com/download/android","Twitter for Android")</f>
        <v>Twitter for Android</v>
      </c>
      <c r="L1773" s="12">
        <v>1421</v>
      </c>
      <c r="M1773" s="12">
        <v>1006</v>
      </c>
      <c r="N1773" s="12">
        <v>0</v>
      </c>
      <c r="O1773" s="14"/>
      <c r="P1773" s="6">
        <v>43177.761678240742</v>
      </c>
      <c r="Q1773" s="15" t="s">
        <v>6258</v>
      </c>
      <c r="R1773" s="17" t="s">
        <v>6259</v>
      </c>
      <c r="S1773" s="11"/>
      <c r="T1773" s="11"/>
      <c r="U1773" s="10" t="str">
        <f>HYPERLINK("https://pbs.twimg.com/profile_images/1007672465269587970/XVq6swR8.jpg","View")</f>
        <v>View</v>
      </c>
    </row>
    <row r="1774" spans="1:21" ht="30.6">
      <c r="A1774" s="6">
        <v>43439.427152777775</v>
      </c>
      <c r="B1774" s="7" t="str">
        <f>HYPERLINK("https://twitter.com/ZykB2","@ZykB2")</f>
        <v>@ZykB2</v>
      </c>
      <c r="C1774" s="8" t="s">
        <v>6260</v>
      </c>
      <c r="D1774" s="9" t="s">
        <v>6261</v>
      </c>
      <c r="E1774" s="10" t="str">
        <f>HYPERLINK("https://twitter.com/ZykB2/status/1070245166181683202","1070245166181683202")</f>
        <v>1070245166181683202</v>
      </c>
      <c r="F1774" s="11"/>
      <c r="G1774" s="11"/>
      <c r="H1774" s="11"/>
      <c r="I1774" s="12">
        <v>0</v>
      </c>
      <c r="J1774" s="12">
        <v>2</v>
      </c>
      <c r="K1774" s="13" t="str">
        <f t="shared" si="399"/>
        <v>Twitter for Android</v>
      </c>
      <c r="L1774" s="12">
        <v>21</v>
      </c>
      <c r="M1774" s="12">
        <v>68</v>
      </c>
      <c r="N1774" s="12">
        <v>1</v>
      </c>
      <c r="O1774" s="14"/>
      <c r="P1774" s="6">
        <v>43001.579166666663</v>
      </c>
      <c r="Q1774" s="15" t="s">
        <v>157</v>
      </c>
      <c r="R1774" s="17" t="s">
        <v>6262</v>
      </c>
      <c r="S1774" s="11"/>
      <c r="T1774" s="11"/>
      <c r="U1774" s="10" t="str">
        <f>HYPERLINK("https://pbs.twimg.com/profile_images/1064940567451369475/IXgWhK3E.jpg","View")</f>
        <v>View</v>
      </c>
    </row>
    <row r="1775" spans="1:21" ht="30.6">
      <c r="A1775" s="6">
        <v>43439.426805555559</v>
      </c>
      <c r="B1775" s="7" t="str">
        <f>HYPERLINK("https://twitter.com/chaviking","@chaviking")</f>
        <v>@chaviking</v>
      </c>
      <c r="C1775" s="8" t="s">
        <v>6263</v>
      </c>
      <c r="D1775" s="9" t="s">
        <v>6264</v>
      </c>
      <c r="E1775" s="10" t="str">
        <f>HYPERLINK("https://twitter.com/chaviking/status/1070245040398757888","1070245040398757888")</f>
        <v>1070245040398757888</v>
      </c>
      <c r="F1775" s="11"/>
      <c r="G1775" s="11"/>
      <c r="H1775" s="11"/>
      <c r="I1775" s="12">
        <v>0</v>
      </c>
      <c r="J1775" s="12">
        <v>0</v>
      </c>
      <c r="K1775" s="13" t="str">
        <f t="shared" si="399"/>
        <v>Twitter for Android</v>
      </c>
      <c r="L1775" s="12">
        <v>49</v>
      </c>
      <c r="M1775" s="12">
        <v>55</v>
      </c>
      <c r="N1775" s="12">
        <v>0</v>
      </c>
      <c r="O1775" s="14"/>
      <c r="P1775" s="6">
        <v>40836.936944444446</v>
      </c>
      <c r="Q1775" s="15" t="s">
        <v>6265</v>
      </c>
      <c r="R1775" s="18"/>
      <c r="S1775" s="11"/>
      <c r="T1775" s="11"/>
      <c r="U1775" s="10" t="str">
        <f>HYPERLINK("https://pbs.twimg.com/profile_images/866384461927153665/h_33lBT3.jpg","View")</f>
        <v>View</v>
      </c>
    </row>
    <row r="1776" spans="1:21" ht="30.6">
      <c r="A1776" s="6">
        <v>43439.426782407405</v>
      </c>
      <c r="B1776" s="7" t="str">
        <f>HYPERLINK("https://twitter.com/julio_patria","@julio_patria")</f>
        <v>@julio_patria</v>
      </c>
      <c r="C1776" s="8" t="s">
        <v>6266</v>
      </c>
      <c r="D1776" s="9" t="s">
        <v>6267</v>
      </c>
      <c r="E1776" s="10" t="str">
        <f>HYPERLINK("https://twitter.com/julio_patria/status/1070245033457139712","1070245033457139712")</f>
        <v>1070245033457139712</v>
      </c>
      <c r="F1776" s="11"/>
      <c r="G1776" s="16" t="s">
        <v>5521</v>
      </c>
      <c r="H1776" s="11"/>
      <c r="I1776" s="12">
        <v>899</v>
      </c>
      <c r="J1776" s="12">
        <v>1195</v>
      </c>
      <c r="K1776" s="13" t="str">
        <f>HYPERLINK("http://twitter.com","Twitter Web Client")</f>
        <v>Twitter Web Client</v>
      </c>
      <c r="L1776" s="12">
        <v>215</v>
      </c>
      <c r="M1776" s="12">
        <v>212</v>
      </c>
      <c r="N1776" s="12">
        <v>2</v>
      </c>
      <c r="O1776" s="14"/>
      <c r="P1776" s="6">
        <v>43212.939629629633</v>
      </c>
      <c r="Q1776" s="15" t="s">
        <v>185</v>
      </c>
      <c r="R1776" s="17" t="s">
        <v>6268</v>
      </c>
      <c r="S1776" s="11"/>
      <c r="T1776" s="11"/>
      <c r="U1776" s="10" t="str">
        <f>HYPERLINK("https://pbs.twimg.com/profile_images/1051169691002130433/rqc4qGR-.jpg","View")</f>
        <v>View</v>
      </c>
    </row>
    <row r="1777" spans="1:21" ht="20.399999999999999">
      <c r="A1777" s="6">
        <v>43439.426446759258</v>
      </c>
      <c r="B1777" s="7" t="str">
        <f>HYPERLINK("https://twitter.com/B_ca_es_eu","@B_ca_es_eu")</f>
        <v>@B_ca_es_eu</v>
      </c>
      <c r="C1777" s="8" t="s">
        <v>6269</v>
      </c>
      <c r="D1777" s="9" t="s">
        <v>6270</v>
      </c>
      <c r="E1777" s="10" t="str">
        <f>HYPERLINK("https://twitter.com/B_ca_es_eu/status/1070244912220856320","1070244912220856320")</f>
        <v>1070244912220856320</v>
      </c>
      <c r="F1777" s="11"/>
      <c r="G1777" s="11"/>
      <c r="H1777" s="11"/>
      <c r="I1777" s="12">
        <v>5</v>
      </c>
      <c r="J1777" s="12">
        <v>6</v>
      </c>
      <c r="K1777" s="13" t="str">
        <f>HYPERLINK("http://twitter.com/download/android","Twitter for Android")</f>
        <v>Twitter for Android</v>
      </c>
      <c r="L1777" s="12">
        <v>7598</v>
      </c>
      <c r="M1777" s="12">
        <v>8076</v>
      </c>
      <c r="N1777" s="12">
        <v>362</v>
      </c>
      <c r="O1777" s="14"/>
      <c r="P1777" s="6">
        <v>40917.536597222221</v>
      </c>
      <c r="Q1777" s="15" t="s">
        <v>464</v>
      </c>
      <c r="R1777" s="17" t="s">
        <v>6271</v>
      </c>
      <c r="S1777" s="11"/>
      <c r="T1777" s="11"/>
      <c r="U1777" s="10" t="str">
        <f>HYPERLINK("https://pbs.twimg.com/profile_images/1009399356099846145/EFwdZWCf.jpg","View")</f>
        <v>View</v>
      </c>
    </row>
    <row r="1778" spans="1:21" ht="13.2">
      <c r="A1778" s="6">
        <v>43439.426122685181</v>
      </c>
      <c r="B1778" s="7" t="str">
        <f>HYPERLINK("https://twitter.com/AndreaSwertz1","@AndreaSwertz1")</f>
        <v>@AndreaSwertz1</v>
      </c>
      <c r="C1778" s="8" t="s">
        <v>5676</v>
      </c>
      <c r="D1778" s="9" t="s">
        <v>6272</v>
      </c>
      <c r="E1778" s="10" t="str">
        <f>HYPERLINK("https://twitter.com/AndreaSwertz1/status/1070244793660379137","1070244793660379137")</f>
        <v>1070244793660379137</v>
      </c>
      <c r="F1778" s="11"/>
      <c r="G1778" s="11"/>
      <c r="H1778" s="11"/>
      <c r="I1778" s="12">
        <v>0</v>
      </c>
      <c r="J1778" s="12">
        <v>1</v>
      </c>
      <c r="K1778" s="13" t="str">
        <f>HYPERLINK("http://twitter.com/download/iphone","Twitter for iPhone")</f>
        <v>Twitter for iPhone</v>
      </c>
      <c r="L1778" s="12">
        <v>17</v>
      </c>
      <c r="M1778" s="12">
        <v>57</v>
      </c>
      <c r="N1778" s="12">
        <v>0</v>
      </c>
      <c r="O1778" s="14"/>
      <c r="P1778" s="6">
        <v>43104.423483796301</v>
      </c>
      <c r="Q1778" s="15" t="s">
        <v>5678</v>
      </c>
      <c r="R1778" s="17" t="s">
        <v>5679</v>
      </c>
      <c r="S1778" s="11"/>
      <c r="T1778" s="11"/>
      <c r="U1778" s="10" t="str">
        <f>HYPERLINK("https://pbs.twimg.com/profile_images/1031439817450631168/rFsKjRsM.jpg","View")</f>
        <v>View</v>
      </c>
    </row>
    <row r="1779" spans="1:21" ht="51">
      <c r="A1779" s="6">
        <v>43439.425671296296</v>
      </c>
      <c r="B1779" s="7" t="str">
        <f>HYPERLINK("https://twitter.com/QueNoMeJudas","@QueNoMeJudas")</f>
        <v>@QueNoMeJudas</v>
      </c>
      <c r="C1779" s="8" t="s">
        <v>6273</v>
      </c>
      <c r="D1779" s="9" t="s">
        <v>6274</v>
      </c>
      <c r="E1779" s="10" t="str">
        <f>HYPERLINK("https://twitter.com/QueNoMeJudas/status/1070244629138866176","1070244629138866176")</f>
        <v>1070244629138866176</v>
      </c>
      <c r="F1779" s="11"/>
      <c r="G1779" s="11"/>
      <c r="H1779" s="11"/>
      <c r="I1779" s="12">
        <v>0</v>
      </c>
      <c r="J1779" s="12">
        <v>2</v>
      </c>
      <c r="K1779" s="13" t="str">
        <f>HYPERLINK("http://twitter.com","Twitter Web Client")</f>
        <v>Twitter Web Client</v>
      </c>
      <c r="L1779" s="12">
        <v>222</v>
      </c>
      <c r="M1779" s="12">
        <v>406</v>
      </c>
      <c r="N1779" s="12">
        <v>2</v>
      </c>
      <c r="O1779" s="14"/>
      <c r="P1779" s="6">
        <v>41167.769155092596</v>
      </c>
      <c r="Q1779" s="11"/>
      <c r="R1779" s="17" t="s">
        <v>6275</v>
      </c>
      <c r="S1779" s="11"/>
      <c r="T1779" s="11"/>
      <c r="U1779" s="10" t="str">
        <f>HYPERLINK("https://pbs.twimg.com/profile_images/416507845396271104/guXH0AMv.jpeg","View")</f>
        <v>View</v>
      </c>
    </row>
    <row r="1780" spans="1:21" ht="40.799999999999997">
      <c r="A1780" s="6">
        <v>43439.425300925926</v>
      </c>
      <c r="B1780" s="7" t="str">
        <f>HYPERLINK("https://twitter.com/ama_yatevale","@ama_yatevale")</f>
        <v>@ama_yatevale</v>
      </c>
      <c r="C1780" s="8" t="s">
        <v>6276</v>
      </c>
      <c r="D1780" s="9" t="s">
        <v>6277</v>
      </c>
      <c r="E1780" s="10" t="str">
        <f>HYPERLINK("https://twitter.com/ama_yatevale/status/1070244496921759744","1070244496921759744")</f>
        <v>1070244496921759744</v>
      </c>
      <c r="F1780" s="11"/>
      <c r="G1780" s="11"/>
      <c r="H1780" s="11"/>
      <c r="I1780" s="12">
        <v>2</v>
      </c>
      <c r="J1780" s="12">
        <v>9</v>
      </c>
      <c r="K1780" s="13" t="str">
        <f>HYPERLINK("http://twitter.com/download/android","Twitter for Android")</f>
        <v>Twitter for Android</v>
      </c>
      <c r="L1780" s="12">
        <v>1526</v>
      </c>
      <c r="M1780" s="12">
        <v>1798</v>
      </c>
      <c r="N1780" s="12">
        <v>5</v>
      </c>
      <c r="O1780" s="14"/>
      <c r="P1780" s="6">
        <v>43264.918194444443</v>
      </c>
      <c r="Q1780" s="15" t="s">
        <v>185</v>
      </c>
      <c r="R1780" s="17" t="s">
        <v>6278</v>
      </c>
      <c r="S1780" s="11"/>
      <c r="T1780" s="11"/>
      <c r="U1780" s="10" t="str">
        <f>HYPERLINK("https://pbs.twimg.com/profile_images/1059944835812089857/NEmCgBQ4.jpg","View")</f>
        <v>View</v>
      </c>
    </row>
    <row r="1781" spans="1:21" ht="40.799999999999997">
      <c r="A1781" s="6">
        <v>43439.424976851849</v>
      </c>
      <c r="B1781" s="7" t="str">
        <f>HYPERLINK("https://twitter.com/piopiotwit","@piopiotwit")</f>
        <v>@piopiotwit</v>
      </c>
      <c r="C1781" s="8" t="s">
        <v>2378</v>
      </c>
      <c r="D1781" s="9" t="s">
        <v>6279</v>
      </c>
      <c r="E1781" s="10" t="str">
        <f>HYPERLINK("https://twitter.com/piopiotwit/status/1070244377551888384","1070244377551888384")</f>
        <v>1070244377551888384</v>
      </c>
      <c r="F1781" s="16" t="s">
        <v>1663</v>
      </c>
      <c r="G1781" s="11"/>
      <c r="H1781" s="11"/>
      <c r="I1781" s="12">
        <v>25</v>
      </c>
      <c r="J1781" s="12">
        <v>21</v>
      </c>
      <c r="K1781" s="13" t="str">
        <f>HYPERLINK("http://twitter.com","Twitter Web Client")</f>
        <v>Twitter Web Client</v>
      </c>
      <c r="L1781" s="12">
        <v>2430</v>
      </c>
      <c r="M1781" s="12">
        <v>1703</v>
      </c>
      <c r="N1781" s="12">
        <v>31</v>
      </c>
      <c r="O1781" s="14"/>
      <c r="P1781" s="6">
        <v>41581.075787037036</v>
      </c>
      <c r="Q1781" s="15" t="s">
        <v>2381</v>
      </c>
      <c r="R1781" s="17" t="s">
        <v>2382</v>
      </c>
      <c r="S1781" s="11"/>
      <c r="T1781" s="11"/>
      <c r="U1781" s="10" t="str">
        <f>HYPERLINK("https://pbs.twimg.com/profile_images/847751229656584192/rOz7IyzE.jpg","View")</f>
        <v>View</v>
      </c>
    </row>
    <row r="1782" spans="1:21" ht="20.399999999999999">
      <c r="A1782" s="6">
        <v>43439.424942129626</v>
      </c>
      <c r="B1782" s="7" t="str">
        <f>HYPERLINK("https://twitter.com/gadorjoya","@gadorjoya")</f>
        <v>@gadorjoya</v>
      </c>
      <c r="C1782" s="8" t="s">
        <v>6180</v>
      </c>
      <c r="D1782" s="9" t="s">
        <v>6280</v>
      </c>
      <c r="E1782" s="10" t="str">
        <f>HYPERLINK("https://twitter.com/gadorjoya/status/1070244367259107329","1070244367259107329")</f>
        <v>1070244367259107329</v>
      </c>
      <c r="F1782" s="11"/>
      <c r="G1782" s="11"/>
      <c r="H1782" s="11"/>
      <c r="I1782" s="12">
        <v>2</v>
      </c>
      <c r="J1782" s="12">
        <v>1</v>
      </c>
      <c r="K1782" s="13" t="str">
        <f>HYPERLINK("https://mobile.twitter.com","Twitter Lite")</f>
        <v>Twitter Lite</v>
      </c>
      <c r="L1782" s="12">
        <v>6857</v>
      </c>
      <c r="M1782" s="12">
        <v>1629</v>
      </c>
      <c r="N1782" s="12">
        <v>125</v>
      </c>
      <c r="O1782" s="14"/>
      <c r="P1782" s="6">
        <v>40120.567349537036</v>
      </c>
      <c r="Q1782" s="15" t="s">
        <v>612</v>
      </c>
      <c r="R1782" s="18"/>
      <c r="S1782" s="11"/>
      <c r="T1782" s="11"/>
      <c r="U1782" s="10" t="str">
        <f>HYPERLINK("https://pbs.twimg.com/profile_images/871478927319072768/Kgou3D4F.jpg","View")</f>
        <v>View</v>
      </c>
    </row>
    <row r="1783" spans="1:21" ht="30.6">
      <c r="A1783" s="6">
        <v>43439.424930555557</v>
      </c>
      <c r="B1783" s="7" t="str">
        <f>HYPERLINK("https://twitter.com/MARIAPerezFern","@MARIAPerezFern")</f>
        <v>@MARIAPerezFern</v>
      </c>
      <c r="C1783" s="8" t="s">
        <v>6238</v>
      </c>
      <c r="D1783" s="9" t="s">
        <v>6281</v>
      </c>
      <c r="E1783" s="10" t="str">
        <f>HYPERLINK("https://twitter.com/MARIAPerezFern/status/1070244362951581696","1070244362951581696")</f>
        <v>1070244362951581696</v>
      </c>
      <c r="F1783" s="11"/>
      <c r="G1783" s="11"/>
      <c r="H1783" s="11"/>
      <c r="I1783" s="12">
        <v>1</v>
      </c>
      <c r="J1783" s="12">
        <v>1</v>
      </c>
      <c r="K1783" s="13" t="str">
        <f t="shared" ref="K1783:K1784" si="400">HYPERLINK("http://twitter.com/download/android","Twitter for Android")</f>
        <v>Twitter for Android</v>
      </c>
      <c r="L1783" s="12">
        <v>2192</v>
      </c>
      <c r="M1783" s="12">
        <v>2224</v>
      </c>
      <c r="N1783" s="12">
        <v>32</v>
      </c>
      <c r="O1783" s="14"/>
      <c r="P1783" s="6">
        <v>41458.632418981484</v>
      </c>
      <c r="Q1783" s="15" t="s">
        <v>5629</v>
      </c>
      <c r="R1783" s="17" t="s">
        <v>6240</v>
      </c>
      <c r="S1783" s="11"/>
      <c r="T1783" s="11"/>
      <c r="U1783" s="10" t="str">
        <f>HYPERLINK("https://pbs.twimg.com/profile_images/1062830273992318976/xCF0muOM.jpg","View")</f>
        <v>View</v>
      </c>
    </row>
    <row r="1784" spans="1:21" ht="40.799999999999997">
      <c r="A1784" s="6">
        <v>43439.424837962964</v>
      </c>
      <c r="B1784" s="7" t="str">
        <f>HYPERLINK("https://twitter.com/malagaalmomento","@malagaalmomento")</f>
        <v>@malagaalmomento</v>
      </c>
      <c r="C1784" s="8" t="s">
        <v>400</v>
      </c>
      <c r="D1784" s="9" t="s">
        <v>6282</v>
      </c>
      <c r="E1784" s="10" t="str">
        <f>HYPERLINK("https://twitter.com/malagaalmomento/status/1070244326419124224","1070244326419124224")</f>
        <v>1070244326419124224</v>
      </c>
      <c r="F1784" s="16" t="s">
        <v>6283</v>
      </c>
      <c r="G1784" s="11"/>
      <c r="H1784" s="11"/>
      <c r="I1784" s="12">
        <v>0</v>
      </c>
      <c r="J1784" s="12">
        <v>0</v>
      </c>
      <c r="K1784" s="13" t="str">
        <f t="shared" si="400"/>
        <v>Twitter for Android</v>
      </c>
      <c r="L1784" s="12">
        <v>1462</v>
      </c>
      <c r="M1784" s="12">
        <v>647</v>
      </c>
      <c r="N1784" s="12">
        <v>34</v>
      </c>
      <c r="O1784" s="14"/>
      <c r="P1784" s="6">
        <v>40795.017974537041</v>
      </c>
      <c r="Q1784" s="15" t="s">
        <v>403</v>
      </c>
      <c r="R1784" s="17" t="s">
        <v>404</v>
      </c>
      <c r="S1784" s="11"/>
      <c r="T1784" s="11"/>
      <c r="U1784" s="10" t="str">
        <f>HYPERLINK("https://pbs.twimg.com/profile_images/1039880007785570311/JwF4nNvY.jpg","View")</f>
        <v>View</v>
      </c>
    </row>
    <row r="1785" spans="1:21" ht="30.6">
      <c r="A1785" s="6">
        <v>43439.424537037034</v>
      </c>
      <c r="B1785" s="7" t="str">
        <f>HYPERLINK("https://twitter.com/gadorjoya","@gadorjoya")</f>
        <v>@gadorjoya</v>
      </c>
      <c r="C1785" s="8" t="s">
        <v>6180</v>
      </c>
      <c r="D1785" s="9" t="s">
        <v>6284</v>
      </c>
      <c r="E1785" s="10" t="str">
        <f>HYPERLINK("https://twitter.com/gadorjoya/status/1070244217832792065","1070244217832792065")</f>
        <v>1070244217832792065</v>
      </c>
      <c r="F1785" s="11"/>
      <c r="G1785" s="11"/>
      <c r="H1785" s="11"/>
      <c r="I1785" s="12">
        <v>3</v>
      </c>
      <c r="J1785" s="12">
        <v>1</v>
      </c>
      <c r="K1785" s="13" t="str">
        <f>HYPERLINK("https://mobile.twitter.com","Twitter Lite")</f>
        <v>Twitter Lite</v>
      </c>
      <c r="L1785" s="12">
        <v>6857</v>
      </c>
      <c r="M1785" s="12">
        <v>1629</v>
      </c>
      <c r="N1785" s="12">
        <v>125</v>
      </c>
      <c r="O1785" s="14"/>
      <c r="P1785" s="6">
        <v>40120.567349537036</v>
      </c>
      <c r="Q1785" s="15" t="s">
        <v>612</v>
      </c>
      <c r="R1785" s="18"/>
      <c r="S1785" s="11"/>
      <c r="T1785" s="11"/>
      <c r="U1785" s="10" t="str">
        <f>HYPERLINK("https://pbs.twimg.com/profile_images/871478927319072768/Kgou3D4F.jpg","View")</f>
        <v>View</v>
      </c>
    </row>
    <row r="1786" spans="1:21" ht="40.799999999999997">
      <c r="A1786" s="6">
        <v>43439.424421296295</v>
      </c>
      <c r="B1786" s="7" t="str">
        <f>HYPERLINK("https://twitter.com/AmielLibre","@AmielLibre")</f>
        <v>@AmielLibre</v>
      </c>
      <c r="C1786" s="8" t="s">
        <v>6285</v>
      </c>
      <c r="D1786" s="9" t="s">
        <v>6286</v>
      </c>
      <c r="E1786" s="10" t="str">
        <f>HYPERLINK("https://twitter.com/AmielLibre/status/1070244176833449985","1070244176833449985")</f>
        <v>1070244176833449985</v>
      </c>
      <c r="F1786" s="11"/>
      <c r="G1786" s="11"/>
      <c r="H1786" s="11"/>
      <c r="I1786" s="12">
        <v>0</v>
      </c>
      <c r="J1786" s="12">
        <v>1</v>
      </c>
      <c r="K1786" s="13" t="str">
        <f t="shared" ref="K1786:K1787" si="401">HYPERLINK("http://twitter.com/download/android","Twitter for Android")</f>
        <v>Twitter for Android</v>
      </c>
      <c r="L1786" s="12">
        <v>205</v>
      </c>
      <c r="M1786" s="12">
        <v>243</v>
      </c>
      <c r="N1786" s="12">
        <v>1</v>
      </c>
      <c r="O1786" s="14"/>
      <c r="P1786" s="6">
        <v>42750.732361111106</v>
      </c>
      <c r="Q1786" s="15" t="s">
        <v>3192</v>
      </c>
      <c r="R1786" s="17" t="s">
        <v>6287</v>
      </c>
      <c r="S1786" s="11"/>
      <c r="T1786" s="11"/>
      <c r="U1786" s="10" t="str">
        <f>HYPERLINK("https://pbs.twimg.com/profile_images/963007425501716480/5D9VzBPS.jpg","View")</f>
        <v>View</v>
      </c>
    </row>
    <row r="1787" spans="1:21" ht="30.6">
      <c r="A1787" s="6">
        <v>43439.424224537041</v>
      </c>
      <c r="B1787" s="7" t="str">
        <f>HYPERLINK("https://twitter.com/_irenemb96","@_irenemb96")</f>
        <v>@_irenemb96</v>
      </c>
      <c r="C1787" s="27" t="s">
        <v>6288</v>
      </c>
      <c r="D1787" s="9" t="s">
        <v>6289</v>
      </c>
      <c r="E1787" s="10" t="str">
        <f>HYPERLINK("https://twitter.com/_irenemb96/status/1070244104272076800","1070244104272076800")</f>
        <v>1070244104272076800</v>
      </c>
      <c r="F1787" s="11"/>
      <c r="G1787" s="11"/>
      <c r="H1787" s="11"/>
      <c r="I1787" s="12">
        <v>0</v>
      </c>
      <c r="J1787" s="12">
        <v>0</v>
      </c>
      <c r="K1787" s="13" t="str">
        <f t="shared" si="401"/>
        <v>Twitter for Android</v>
      </c>
      <c r="L1787" s="12">
        <v>2882</v>
      </c>
      <c r="M1787" s="12">
        <v>1841</v>
      </c>
      <c r="N1787" s="12">
        <v>47</v>
      </c>
      <c r="O1787" s="14"/>
      <c r="P1787" s="6">
        <v>40656.010057870371</v>
      </c>
      <c r="Q1787" s="15" t="s">
        <v>1048</v>
      </c>
      <c r="R1787" s="17" t="s">
        <v>6290</v>
      </c>
      <c r="S1787" s="11"/>
      <c r="T1787" s="11"/>
      <c r="U1787" s="10" t="str">
        <f>HYPERLINK("https://pbs.twimg.com/profile_images/1060673998974083072/h00jtUBQ.jpg","View")</f>
        <v>View</v>
      </c>
    </row>
    <row r="1788" spans="1:21" ht="40.799999999999997">
      <c r="A1788" s="6">
        <v>43439.423692129625</v>
      </c>
      <c r="B1788" s="7" t="str">
        <f>HYPERLINK("https://twitter.com/lextresabogados","@lextresabogados")</f>
        <v>@lextresabogados</v>
      </c>
      <c r="C1788" s="8" t="s">
        <v>672</v>
      </c>
      <c r="D1788" s="9" t="s">
        <v>6291</v>
      </c>
      <c r="E1788" s="10" t="str">
        <f>HYPERLINK("https://twitter.com/lextresabogados/status/1070243912135176193","1070243912135176193")</f>
        <v>1070243912135176193</v>
      </c>
      <c r="F1788" s="16" t="s">
        <v>189</v>
      </c>
      <c r="G1788" s="11"/>
      <c r="H1788" s="11"/>
      <c r="I1788" s="12">
        <v>0</v>
      </c>
      <c r="J1788" s="12">
        <v>0</v>
      </c>
      <c r="K1788" s="13" t="str">
        <f>HYPERLINK("http://35.180.36.179","botize nueva")</f>
        <v>botize nueva</v>
      </c>
      <c r="L1788" s="12">
        <v>2912</v>
      </c>
      <c r="M1788" s="12">
        <v>3525</v>
      </c>
      <c r="N1788" s="12">
        <v>26</v>
      </c>
      <c r="O1788" s="14"/>
      <c r="P1788" s="6">
        <v>42880.770949074074</v>
      </c>
      <c r="Q1788" s="15" t="s">
        <v>676</v>
      </c>
      <c r="R1788" s="17" t="s">
        <v>677</v>
      </c>
      <c r="S1788" s="16" t="s">
        <v>678</v>
      </c>
      <c r="T1788" s="11"/>
      <c r="U1788" s="10" t="str">
        <f>HYPERLINK("https://pbs.twimg.com/profile_images/1068056978679898113/YnjKwiVy.jpg","View")</f>
        <v>View</v>
      </c>
    </row>
    <row r="1789" spans="1:21" ht="40.799999999999997">
      <c r="A1789" s="6">
        <v>43439.423460648148</v>
      </c>
      <c r="B1789" s="7" t="str">
        <f>HYPERLINK("https://twitter.com/SoyTuAzote","@SoyTuAzote")</f>
        <v>@SoyTuAzote</v>
      </c>
      <c r="C1789" s="8" t="s">
        <v>6292</v>
      </c>
      <c r="D1789" s="9" t="s">
        <v>6293</v>
      </c>
      <c r="E1789" s="10" t="str">
        <f>HYPERLINK("https://twitter.com/SoyTuAzote/status/1070243828236541952","1070243828236541952")</f>
        <v>1070243828236541952</v>
      </c>
      <c r="F1789" s="11"/>
      <c r="G1789" s="11"/>
      <c r="H1789" s="11"/>
      <c r="I1789" s="12">
        <v>0</v>
      </c>
      <c r="J1789" s="12">
        <v>1</v>
      </c>
      <c r="K1789" s="13" t="str">
        <f>HYPERLINK("http://twitter.com/download/iphone","Twitter for iPhone")</f>
        <v>Twitter for iPhone</v>
      </c>
      <c r="L1789" s="12">
        <v>197</v>
      </c>
      <c r="M1789" s="12">
        <v>407</v>
      </c>
      <c r="N1789" s="12">
        <v>7</v>
      </c>
      <c r="O1789" s="14"/>
      <c r="P1789" s="6">
        <v>42352.43613425926</v>
      </c>
      <c r="Q1789" s="15" t="s">
        <v>6294</v>
      </c>
      <c r="R1789" s="17" t="s">
        <v>6295</v>
      </c>
      <c r="S1789" s="11"/>
      <c r="T1789" s="11"/>
      <c r="U1789" s="10" t="str">
        <f>HYPERLINK("https://pbs.twimg.com/profile_images/676333853850656768/mqwp5UvF.jpg","View")</f>
        <v>View</v>
      </c>
    </row>
    <row r="1790" spans="1:21" ht="30.6">
      <c r="A1790" s="6">
        <v>43439.42322916667</v>
      </c>
      <c r="B1790" s="7" t="str">
        <f>HYPERLINK("https://twitter.com/silvia0907","@silvia0907")</f>
        <v>@silvia0907</v>
      </c>
      <c r="C1790" s="8" t="s">
        <v>4541</v>
      </c>
      <c r="D1790" s="9" t="s">
        <v>6296</v>
      </c>
      <c r="E1790" s="10" t="str">
        <f>HYPERLINK("https://twitter.com/silvia0907/status/1070243745533227008","1070243745533227008")</f>
        <v>1070243745533227008</v>
      </c>
      <c r="F1790" s="11"/>
      <c r="G1790" s="16" t="s">
        <v>6297</v>
      </c>
      <c r="H1790" s="11"/>
      <c r="I1790" s="12">
        <v>6</v>
      </c>
      <c r="J1790" s="12">
        <v>10</v>
      </c>
      <c r="K1790" s="13" t="str">
        <f>HYPERLINK("http://twitter.com/download/android","Twitter for Android")</f>
        <v>Twitter for Android</v>
      </c>
      <c r="L1790" s="12">
        <v>3671</v>
      </c>
      <c r="M1790" s="12">
        <v>63</v>
      </c>
      <c r="N1790" s="12">
        <v>53</v>
      </c>
      <c r="O1790" s="14"/>
      <c r="P1790" s="6">
        <v>41394.656006944446</v>
      </c>
      <c r="Q1790" s="15" t="s">
        <v>612</v>
      </c>
      <c r="R1790" s="17" t="s">
        <v>4544</v>
      </c>
      <c r="S1790" s="11"/>
      <c r="T1790" s="11"/>
      <c r="U1790" s="10" t="str">
        <f>HYPERLINK("https://pbs.twimg.com/profile_images/967044247273791489/I3V7XbPG.jpg","View")</f>
        <v>View</v>
      </c>
    </row>
    <row r="1791" spans="1:21" ht="30.6">
      <c r="A1791" s="6">
        <v>43439.423090277778</v>
      </c>
      <c r="B1791" s="7" t="str">
        <f>HYPERLINK("https://twitter.com/Ixone_SH","@Ixone_SH")</f>
        <v>@Ixone_SH</v>
      </c>
      <c r="C1791" s="8" t="s">
        <v>6298</v>
      </c>
      <c r="D1791" s="9" t="s">
        <v>6299</v>
      </c>
      <c r="E1791" s="10" t="str">
        <f>HYPERLINK("https://twitter.com/Ixone_SH/status/1070243695688065025","1070243695688065025")</f>
        <v>1070243695688065025</v>
      </c>
      <c r="F1791" s="11"/>
      <c r="G1791" s="11"/>
      <c r="H1791" s="11"/>
      <c r="I1791" s="12">
        <v>1</v>
      </c>
      <c r="J1791" s="12">
        <v>2</v>
      </c>
      <c r="K1791" s="13" t="str">
        <f>HYPERLINK("http://twitter.com/download/iphone","Twitter for iPhone")</f>
        <v>Twitter for iPhone</v>
      </c>
      <c r="L1791" s="12">
        <v>1644</v>
      </c>
      <c r="M1791" s="12">
        <v>1619</v>
      </c>
      <c r="N1791" s="12">
        <v>58</v>
      </c>
      <c r="O1791" s="14"/>
      <c r="P1791" s="6">
        <v>40303.579594907409</v>
      </c>
      <c r="Q1791" s="15" t="s">
        <v>6300</v>
      </c>
      <c r="R1791" s="17" t="s">
        <v>6301</v>
      </c>
      <c r="S1791" s="11"/>
      <c r="T1791" s="11"/>
      <c r="U1791" s="10" t="str">
        <f>HYPERLINK("https://pbs.twimg.com/profile_images/805796380753199105/svaJgXgK.jpg","View")</f>
        <v>View</v>
      </c>
    </row>
    <row r="1792" spans="1:21" ht="30.6">
      <c r="A1792" s="6">
        <v>43439.423078703709</v>
      </c>
      <c r="B1792" s="7" t="str">
        <f>HYPERLINK("https://twitter.com/piopiotwit","@piopiotwit")</f>
        <v>@piopiotwit</v>
      </c>
      <c r="C1792" s="8" t="s">
        <v>2378</v>
      </c>
      <c r="D1792" s="9" t="s">
        <v>6302</v>
      </c>
      <c r="E1792" s="10" t="str">
        <f>HYPERLINK("https://twitter.com/piopiotwit/status/1070243688104763392","1070243688104763392")</f>
        <v>1070243688104763392</v>
      </c>
      <c r="F1792" s="16" t="s">
        <v>482</v>
      </c>
      <c r="G1792" s="11"/>
      <c r="H1792" s="11"/>
      <c r="I1792" s="12">
        <v>13</v>
      </c>
      <c r="J1792" s="12">
        <v>10</v>
      </c>
      <c r="K1792" s="13" t="str">
        <f>HYPERLINK("http://twitter.com","Twitter Web Client")</f>
        <v>Twitter Web Client</v>
      </c>
      <c r="L1792" s="12">
        <v>2430</v>
      </c>
      <c r="M1792" s="12">
        <v>1703</v>
      </c>
      <c r="N1792" s="12">
        <v>31</v>
      </c>
      <c r="O1792" s="14"/>
      <c r="P1792" s="6">
        <v>41581.075787037036</v>
      </c>
      <c r="Q1792" s="15" t="s">
        <v>2381</v>
      </c>
      <c r="R1792" s="17" t="s">
        <v>2382</v>
      </c>
      <c r="S1792" s="11"/>
      <c r="T1792" s="11"/>
      <c r="U1792" s="10" t="str">
        <f>HYPERLINK("https://pbs.twimg.com/profile_images/847751229656584192/rOz7IyzE.jpg","View")</f>
        <v>View</v>
      </c>
    </row>
    <row r="1793" spans="1:21" ht="40.799999999999997">
      <c r="A1793" s="6">
        <v>43439.422916666663</v>
      </c>
      <c r="B1793" s="7" t="str">
        <f>HYPERLINK("https://twitter.com/elektrablue2","@elektrablue2")</f>
        <v>@elektrablue2</v>
      </c>
      <c r="C1793" s="8" t="s">
        <v>6303</v>
      </c>
      <c r="D1793" s="9" t="s">
        <v>6304</v>
      </c>
      <c r="E1793" s="10" t="str">
        <f>HYPERLINK("https://twitter.com/elektrablue2/status/1070243629279653889","1070243629279653889")</f>
        <v>1070243629279653889</v>
      </c>
      <c r="F1793" s="11"/>
      <c r="G1793" s="11"/>
      <c r="H1793" s="11"/>
      <c r="I1793" s="12">
        <v>0</v>
      </c>
      <c r="J1793" s="12">
        <v>0</v>
      </c>
      <c r="K1793" s="13" t="str">
        <f>HYPERLINK("http://twitter.com/download/android","Twitter for Android")</f>
        <v>Twitter for Android</v>
      </c>
      <c r="L1793" s="12">
        <v>214</v>
      </c>
      <c r="M1793" s="12">
        <v>671</v>
      </c>
      <c r="N1793" s="12">
        <v>3</v>
      </c>
      <c r="O1793" s="14"/>
      <c r="P1793" s="6">
        <v>43069.553298611107</v>
      </c>
      <c r="Q1793" s="11"/>
      <c r="R1793" s="17" t="s">
        <v>6305</v>
      </c>
      <c r="S1793" s="11"/>
      <c r="T1793" s="11"/>
      <c r="U1793" s="10" t="str">
        <f>HYPERLINK("https://pbs.twimg.com/profile_images/1054615725342625792/AcEsftMO.jpg","View")</f>
        <v>View</v>
      </c>
    </row>
    <row r="1794" spans="1:21" ht="30.6">
      <c r="A1794" s="6">
        <v>43439.422893518524</v>
      </c>
      <c r="B1794" s="7" t="str">
        <f>HYPERLINK("https://twitter.com/gadorjoya","@gadorjoya")</f>
        <v>@gadorjoya</v>
      </c>
      <c r="C1794" s="8" t="s">
        <v>6180</v>
      </c>
      <c r="D1794" s="9" t="s">
        <v>6306</v>
      </c>
      <c r="E1794" s="10" t="str">
        <f>HYPERLINK("https://twitter.com/gadorjoya/status/1070243624833687552","1070243624833687552")</f>
        <v>1070243624833687552</v>
      </c>
      <c r="F1794" s="11"/>
      <c r="G1794" s="11"/>
      <c r="H1794" s="11"/>
      <c r="I1794" s="12">
        <v>1</v>
      </c>
      <c r="J1794" s="12">
        <v>0</v>
      </c>
      <c r="K1794" s="13" t="str">
        <f>HYPERLINK("https://mobile.twitter.com","Twitter Lite")</f>
        <v>Twitter Lite</v>
      </c>
      <c r="L1794" s="12">
        <v>6857</v>
      </c>
      <c r="M1794" s="12">
        <v>1629</v>
      </c>
      <c r="N1794" s="12">
        <v>125</v>
      </c>
      <c r="O1794" s="14"/>
      <c r="P1794" s="6">
        <v>40120.567349537036</v>
      </c>
      <c r="Q1794" s="15" t="s">
        <v>612</v>
      </c>
      <c r="R1794" s="18"/>
      <c r="S1794" s="11"/>
      <c r="T1794" s="11"/>
      <c r="U1794" s="10" t="str">
        <f>HYPERLINK("https://pbs.twimg.com/profile_images/871478927319072768/Kgou3D4F.jpg","View")</f>
        <v>View</v>
      </c>
    </row>
    <row r="1795" spans="1:21" ht="30.6">
      <c r="A1795" s="6">
        <v>43439.422662037032</v>
      </c>
      <c r="B1795" s="7" t="str">
        <f>HYPERLINK("https://twitter.com/telecincoes","@telecincoes")</f>
        <v>@telecincoes</v>
      </c>
      <c r="C1795" s="8" t="s">
        <v>5805</v>
      </c>
      <c r="D1795" s="29" t="s">
        <v>6307</v>
      </c>
      <c r="E1795" s="10" t="str">
        <f>HYPERLINK("https://twitter.com/telecincoes/status/1070243538653327360","1070243538653327360")</f>
        <v>1070243538653327360</v>
      </c>
      <c r="F1795" s="16" t="s">
        <v>5796</v>
      </c>
      <c r="G1795" s="16" t="s">
        <v>5797</v>
      </c>
      <c r="H1795" s="11"/>
      <c r="I1795" s="12">
        <v>60</v>
      </c>
      <c r="J1795" s="12">
        <v>138</v>
      </c>
      <c r="K1795" s="13" t="str">
        <f>HYPERLINK("https://about.twitter.com/products/tweetdeck","TweetDeck")</f>
        <v>TweetDeck</v>
      </c>
      <c r="L1795" s="12">
        <v>1577593</v>
      </c>
      <c r="M1795" s="12">
        <v>1363</v>
      </c>
      <c r="N1795" s="12">
        <v>3720</v>
      </c>
      <c r="O1795" s="23" t="s">
        <v>89</v>
      </c>
      <c r="P1795" s="6">
        <v>39848.01626157407</v>
      </c>
      <c r="Q1795" s="15" t="s">
        <v>5809</v>
      </c>
      <c r="R1795" s="17" t="s">
        <v>5810</v>
      </c>
      <c r="S1795" s="16" t="s">
        <v>5811</v>
      </c>
      <c r="T1795" s="11"/>
      <c r="U1795" s="10" t="str">
        <f>HYPERLINK("https://pbs.twimg.com/profile_images/903296444697858048/yS_V6Bk4.jpg","View")</f>
        <v>View</v>
      </c>
    </row>
    <row r="1796" spans="1:21" ht="91.8">
      <c r="A1796" s="6">
        <v>43439.42251157407</v>
      </c>
      <c r="B1796" s="7" t="str">
        <f>HYPERLINK("https://twitter.com/soyjorgeceuta","@soyjorgeceuta")</f>
        <v>@soyjorgeceuta</v>
      </c>
      <c r="C1796" s="8" t="s">
        <v>6308</v>
      </c>
      <c r="D1796" s="9" t="s">
        <v>6309</v>
      </c>
      <c r="E1796" s="10" t="str">
        <f>HYPERLINK("https://twitter.com/soyjorgeceuta/status/1070243484257447936","1070243484257447936")</f>
        <v>1070243484257447936</v>
      </c>
      <c r="F1796" s="16" t="s">
        <v>6310</v>
      </c>
      <c r="G1796" s="11"/>
      <c r="H1796" s="11"/>
      <c r="I1796" s="12">
        <v>6</v>
      </c>
      <c r="J1796" s="12">
        <v>11</v>
      </c>
      <c r="K1796" s="13" t="str">
        <f t="shared" ref="K1796:K1797" si="402">HYPERLINK("http://twitter.com","Twitter Web Client")</f>
        <v>Twitter Web Client</v>
      </c>
      <c r="L1796" s="12">
        <v>64</v>
      </c>
      <c r="M1796" s="12">
        <v>154</v>
      </c>
      <c r="N1796" s="12">
        <v>3</v>
      </c>
      <c r="O1796" s="14"/>
      <c r="P1796" s="6">
        <v>41205.618136574078</v>
      </c>
      <c r="Q1796" s="15" t="s">
        <v>6311</v>
      </c>
      <c r="R1796" s="18"/>
      <c r="S1796" s="11"/>
      <c r="T1796" s="11"/>
      <c r="U1796" s="10" t="str">
        <f>HYPERLINK("https://pbs.twimg.com/profile_images/1054825739231617026/fnf6-9A-.jpg","View")</f>
        <v>View</v>
      </c>
    </row>
    <row r="1797" spans="1:21" ht="51">
      <c r="A1797" s="6">
        <v>43439.422384259262</v>
      </c>
      <c r="B1797" s="7" t="str">
        <f>HYPERLINK("https://twitter.com/deteibols","@deteibols")</f>
        <v>@deteibols</v>
      </c>
      <c r="C1797" s="8" t="s">
        <v>6312</v>
      </c>
      <c r="D1797" s="9" t="s">
        <v>6313</v>
      </c>
      <c r="E1797" s="10" t="str">
        <f>HYPERLINK("https://twitter.com/deteibols/status/1070243438870847488","1070243438870847488")</f>
        <v>1070243438870847488</v>
      </c>
      <c r="F1797" s="11"/>
      <c r="G1797" s="11"/>
      <c r="H1797" s="11"/>
      <c r="I1797" s="12">
        <v>0</v>
      </c>
      <c r="J1797" s="12">
        <v>0</v>
      </c>
      <c r="K1797" s="13" t="str">
        <f t="shared" si="402"/>
        <v>Twitter Web Client</v>
      </c>
      <c r="L1797" s="12">
        <v>2086</v>
      </c>
      <c r="M1797" s="12">
        <v>1920</v>
      </c>
      <c r="N1797" s="12">
        <v>114</v>
      </c>
      <c r="O1797" s="14"/>
      <c r="P1797" s="6">
        <v>41690.332372685181</v>
      </c>
      <c r="Q1797" s="15" t="s">
        <v>6314</v>
      </c>
      <c r="R1797" s="17" t="s">
        <v>6315</v>
      </c>
      <c r="S1797" s="11"/>
      <c r="T1797" s="11"/>
      <c r="U1797" s="10" t="str">
        <f>HYPERLINK("https://pbs.twimg.com/profile_images/1029014123621834761/Lq3ZGK6Z.jpg","View")</f>
        <v>View</v>
      </c>
    </row>
    <row r="1798" spans="1:21" ht="30.6">
      <c r="A1798" s="6">
        <v>43439.422106481477</v>
      </c>
      <c r="B1798" s="7" t="str">
        <f>HYPERLINK("https://twitter.com/RaulRuiz73","@RaulRuiz73")</f>
        <v>@RaulRuiz73</v>
      </c>
      <c r="C1798" s="8" t="s">
        <v>6316</v>
      </c>
      <c r="D1798" s="9" t="s">
        <v>6317</v>
      </c>
      <c r="E1798" s="10" t="str">
        <f>HYPERLINK("https://twitter.com/RaulRuiz73/status/1070243338337615872","1070243338337615872")</f>
        <v>1070243338337615872</v>
      </c>
      <c r="F1798" s="11"/>
      <c r="G1798" s="11"/>
      <c r="H1798" s="11"/>
      <c r="I1798" s="12">
        <v>0</v>
      </c>
      <c r="J1798" s="12">
        <v>2</v>
      </c>
      <c r="K1798" s="13" t="str">
        <f t="shared" ref="K1798:K1800" si="403">HYPERLINK("http://twitter.com/download/android","Twitter for Android")</f>
        <v>Twitter for Android</v>
      </c>
      <c r="L1798" s="12">
        <v>852</v>
      </c>
      <c r="M1798" s="12">
        <v>1426</v>
      </c>
      <c r="N1798" s="12">
        <v>14</v>
      </c>
      <c r="O1798" s="14"/>
      <c r="P1798" s="6">
        <v>40902.838252314818</v>
      </c>
      <c r="Q1798" s="15" t="s">
        <v>6318</v>
      </c>
      <c r="R1798" s="17" t="s">
        <v>6319</v>
      </c>
      <c r="S1798" s="11"/>
      <c r="T1798" s="11"/>
      <c r="U1798" s="10" t="str">
        <f>HYPERLINK("https://pbs.twimg.com/profile_images/1037824447162605568/KcIZW33c.jpg","View")</f>
        <v>View</v>
      </c>
    </row>
    <row r="1799" spans="1:21" ht="20.399999999999999">
      <c r="A1799" s="6">
        <v>43439.422106481477</v>
      </c>
      <c r="B1799" s="7" t="str">
        <f>HYPERLINK("https://twitter.com/marianromon78","@marianromon78")</f>
        <v>@marianromon78</v>
      </c>
      <c r="C1799" s="8" t="s">
        <v>6320</v>
      </c>
      <c r="D1799" s="9" t="s">
        <v>6321</v>
      </c>
      <c r="E1799" s="10" t="str">
        <f>HYPERLINK("https://twitter.com/marianromon78/status/1070243336882143232","1070243336882143232")</f>
        <v>1070243336882143232</v>
      </c>
      <c r="F1799" s="11"/>
      <c r="G1799" s="16" t="s">
        <v>6322</v>
      </c>
      <c r="H1799" s="11"/>
      <c r="I1799" s="12">
        <v>0</v>
      </c>
      <c r="J1799" s="12">
        <v>0</v>
      </c>
      <c r="K1799" s="13" t="str">
        <f t="shared" si="403"/>
        <v>Twitter for Android</v>
      </c>
      <c r="L1799" s="12">
        <v>9</v>
      </c>
      <c r="M1799" s="12">
        <v>60</v>
      </c>
      <c r="N1799" s="12">
        <v>0</v>
      </c>
      <c r="O1799" s="14"/>
      <c r="P1799" s="6">
        <v>42697.934548611112</v>
      </c>
      <c r="Q1799" s="15" t="s">
        <v>676</v>
      </c>
      <c r="R1799" s="17" t="s">
        <v>6323</v>
      </c>
      <c r="S1799" s="11"/>
      <c r="T1799" s="11"/>
      <c r="U1799" s="10" t="str">
        <f>HYPERLINK("https://pbs.twimg.com/profile_images/1067517648567701504/U5Dze9Tz.jpg","View")</f>
        <v>View</v>
      </c>
    </row>
    <row r="1800" spans="1:21" ht="40.799999999999997">
      <c r="A1800" s="6">
        <v>43439.422002314815</v>
      </c>
      <c r="B1800" s="7" t="str">
        <f>HYPERLINK("https://twitter.com/Azul1831","@Azul1831")</f>
        <v>@Azul1831</v>
      </c>
      <c r="C1800" s="8" t="s">
        <v>6324</v>
      </c>
      <c r="D1800" s="9" t="s">
        <v>6325</v>
      </c>
      <c r="E1800" s="10" t="str">
        <f>HYPERLINK("https://twitter.com/Azul1831/status/1070243300865650688","1070243300865650688")</f>
        <v>1070243300865650688</v>
      </c>
      <c r="F1800" s="11"/>
      <c r="G1800" s="11"/>
      <c r="H1800" s="11"/>
      <c r="I1800" s="12">
        <v>0</v>
      </c>
      <c r="J1800" s="12">
        <v>3</v>
      </c>
      <c r="K1800" s="13" t="str">
        <f t="shared" si="403"/>
        <v>Twitter for Android</v>
      </c>
      <c r="L1800" s="12">
        <v>78</v>
      </c>
      <c r="M1800" s="12">
        <v>254</v>
      </c>
      <c r="N1800" s="12">
        <v>0</v>
      </c>
      <c r="O1800" s="14"/>
      <c r="P1800" s="6">
        <v>43263.919166666667</v>
      </c>
      <c r="Q1800" s="11"/>
      <c r="R1800" s="18"/>
      <c r="S1800" s="11"/>
      <c r="T1800" s="11"/>
      <c r="U1800" s="10" t="str">
        <f>HYPERLINK("https://pbs.twimg.com/profile_images/1008743037286174720/hBi4sgTB.jpg","View")</f>
        <v>View</v>
      </c>
    </row>
    <row r="1801" spans="1:21" ht="51">
      <c r="A1801" s="6">
        <v>43439.421956018516</v>
      </c>
      <c r="B1801" s="7" t="str">
        <f>HYPERLINK("https://twitter.com/veganoeinviegno","@veganoeinviegno")</f>
        <v>@veganoeinviegno</v>
      </c>
      <c r="C1801" s="8" t="s">
        <v>6326</v>
      </c>
      <c r="D1801" s="9" t="s">
        <v>6327</v>
      </c>
      <c r="E1801" s="10" t="str">
        <f>HYPERLINK("https://twitter.com/veganoeinviegno/status/1070243283442520064","1070243283442520064")</f>
        <v>1070243283442520064</v>
      </c>
      <c r="F1801" s="11"/>
      <c r="G1801" s="11"/>
      <c r="H1801" s="11"/>
      <c r="I1801" s="12">
        <v>1</v>
      </c>
      <c r="J1801" s="12">
        <v>0</v>
      </c>
      <c r="K1801" s="13" t="str">
        <f>HYPERLINK("http://twitter.com/download/iphone","Twitter for iPhone")</f>
        <v>Twitter for iPhone</v>
      </c>
      <c r="L1801" s="12">
        <v>26</v>
      </c>
      <c r="M1801" s="12">
        <v>113</v>
      </c>
      <c r="N1801" s="12">
        <v>0</v>
      </c>
      <c r="O1801" s="14"/>
      <c r="P1801" s="6">
        <v>43043.62232638889</v>
      </c>
      <c r="Q1801" s="11"/>
      <c r="R1801" s="17" t="s">
        <v>6328</v>
      </c>
      <c r="S1801" s="11"/>
      <c r="T1801" s="11"/>
      <c r="U1801" s="10" t="str">
        <f>HYPERLINK("https://pbs.twimg.com/profile_images/926835958804353024/KozKf0Cv.jpg","View")</f>
        <v>View</v>
      </c>
    </row>
    <row r="1802" spans="1:21" ht="30.6">
      <c r="A1802" s="6">
        <v>43439.421851851846</v>
      </c>
      <c r="B1802" s="7" t="str">
        <f>HYPERLINK("https://twitter.com/donarfonzo","@donarfonzo")</f>
        <v>@donarfonzo</v>
      </c>
      <c r="C1802" s="8" t="s">
        <v>6329</v>
      </c>
      <c r="D1802" s="9" t="s">
        <v>6330</v>
      </c>
      <c r="E1802" s="10" t="str">
        <f>HYPERLINK("https://twitter.com/donarfonzo/status/1070243244938850305","1070243244938850305")</f>
        <v>1070243244938850305</v>
      </c>
      <c r="F1802" s="11"/>
      <c r="G1802" s="11"/>
      <c r="H1802" s="11"/>
      <c r="I1802" s="12">
        <v>1</v>
      </c>
      <c r="J1802" s="12">
        <v>10</v>
      </c>
      <c r="K1802" s="13" t="str">
        <f>HYPERLINK("https://about.twitter.com/products/tweetdeck","TweetDeck")</f>
        <v>TweetDeck</v>
      </c>
      <c r="L1802" s="12">
        <v>48292</v>
      </c>
      <c r="M1802" s="12">
        <v>246</v>
      </c>
      <c r="N1802" s="12">
        <v>626</v>
      </c>
      <c r="O1802" s="14"/>
      <c r="P1802" s="6">
        <v>39963.783831018518</v>
      </c>
      <c r="Q1802" s="11"/>
      <c r="R1802" s="17" t="s">
        <v>6331</v>
      </c>
      <c r="S1802" s="16" t="s">
        <v>6332</v>
      </c>
      <c r="T1802" s="11"/>
      <c r="U1802" s="10" t="str">
        <f>HYPERLINK("https://pbs.twimg.com/profile_images/1057923362276761602/59--IAi4.jpg","View")</f>
        <v>View</v>
      </c>
    </row>
    <row r="1803" spans="1:21" ht="20.399999999999999">
      <c r="A1803" s="6">
        <v>43439.421423611115</v>
      </c>
      <c r="B1803" s="7" t="str">
        <f>HYPERLINK("https://twitter.com/GustavoJBernal","@GustavoJBernal")</f>
        <v>@GustavoJBernal</v>
      </c>
      <c r="C1803" s="8" t="s">
        <v>6333</v>
      </c>
      <c r="D1803" s="9" t="s">
        <v>6334</v>
      </c>
      <c r="E1803" s="10" t="str">
        <f>HYPERLINK("https://twitter.com/GustavoJBernal/status/1070243088331956225","1070243088331956225")</f>
        <v>1070243088331956225</v>
      </c>
      <c r="F1803" s="11"/>
      <c r="G1803" s="11"/>
      <c r="H1803" s="11"/>
      <c r="I1803" s="12">
        <v>1</v>
      </c>
      <c r="J1803" s="12">
        <v>1</v>
      </c>
      <c r="K1803" s="13" t="str">
        <f t="shared" ref="K1803:K1804" si="404">HYPERLINK("https://mobile.twitter.com","Twitter Lite")</f>
        <v>Twitter Lite</v>
      </c>
      <c r="L1803" s="12">
        <v>602</v>
      </c>
      <c r="M1803" s="12">
        <v>708</v>
      </c>
      <c r="N1803" s="12">
        <v>10</v>
      </c>
      <c r="O1803" s="14"/>
      <c r="P1803" s="6">
        <v>40683.121921296297</v>
      </c>
      <c r="Q1803" s="15" t="s">
        <v>197</v>
      </c>
      <c r="R1803" s="17" t="s">
        <v>6335</v>
      </c>
      <c r="S1803" s="11"/>
      <c r="T1803" s="11"/>
      <c r="U1803" s="10" t="str">
        <f>HYPERLINK("https://pbs.twimg.com/profile_images/880880798043394049/5lj8P6g9.jpg","View")</f>
        <v>View</v>
      </c>
    </row>
    <row r="1804" spans="1:21" ht="40.799999999999997">
      <c r="A1804" s="6">
        <v>43439.421180555553</v>
      </c>
      <c r="B1804" s="7" t="str">
        <f>HYPERLINK("https://twitter.com/aalonso481","@aalonso481")</f>
        <v>@aalonso481</v>
      </c>
      <c r="C1804" s="8" t="s">
        <v>6230</v>
      </c>
      <c r="D1804" s="9" t="s">
        <v>6336</v>
      </c>
      <c r="E1804" s="10" t="str">
        <f>HYPERLINK("https://twitter.com/aalonso481/status/1070243003514671104","1070243003514671104")</f>
        <v>1070243003514671104</v>
      </c>
      <c r="F1804" s="11"/>
      <c r="G1804" s="11"/>
      <c r="H1804" s="11"/>
      <c r="I1804" s="12">
        <v>8</v>
      </c>
      <c r="J1804" s="12">
        <v>13</v>
      </c>
      <c r="K1804" s="13" t="str">
        <f t="shared" si="404"/>
        <v>Twitter Lite</v>
      </c>
      <c r="L1804" s="12">
        <v>178</v>
      </c>
      <c r="M1804" s="12">
        <v>307</v>
      </c>
      <c r="N1804" s="12">
        <v>7</v>
      </c>
      <c r="O1804" s="14"/>
      <c r="P1804" s="6">
        <v>40753.843402777777</v>
      </c>
      <c r="Q1804" s="15" t="s">
        <v>6233</v>
      </c>
      <c r="R1804" s="17" t="s">
        <v>6234</v>
      </c>
      <c r="S1804" s="11"/>
      <c r="T1804" s="11"/>
      <c r="U1804" s="10" t="str">
        <f>HYPERLINK("https://pbs.twimg.com/profile_images/1061401821481234432/1EOk0kiz.jpg","View")</f>
        <v>View</v>
      </c>
    </row>
    <row r="1805" spans="1:21" ht="51">
      <c r="A1805" s="6">
        <v>43439.420995370368</v>
      </c>
      <c r="B1805" s="7" t="str">
        <f>HYPERLINK("https://twitter.com/AmargaProgres","@AmargaProgres")</f>
        <v>@AmargaProgres</v>
      </c>
      <c r="C1805" s="8" t="s">
        <v>2530</v>
      </c>
      <c r="D1805" s="9" t="s">
        <v>6337</v>
      </c>
      <c r="E1805" s="10" t="str">
        <f>HYPERLINK("https://twitter.com/AmargaProgres/status/1070242932949745665","1070242932949745665")</f>
        <v>1070242932949745665</v>
      </c>
      <c r="F1805" s="16" t="s">
        <v>6338</v>
      </c>
      <c r="G1805" s="11"/>
      <c r="H1805" s="11"/>
      <c r="I1805" s="12">
        <v>0</v>
      </c>
      <c r="J1805" s="12">
        <v>0</v>
      </c>
      <c r="K1805" s="13" t="str">
        <f t="shared" ref="K1805:K1806" si="405">HYPERLINK("http://twitter.com/download/iphone","Twitter for iPhone")</f>
        <v>Twitter for iPhone</v>
      </c>
      <c r="L1805" s="12">
        <v>2175</v>
      </c>
      <c r="M1805" s="12">
        <v>1241</v>
      </c>
      <c r="N1805" s="12">
        <v>11</v>
      </c>
      <c r="O1805" s="14"/>
      <c r="P1805" s="6">
        <v>43209.508101851854</v>
      </c>
      <c r="Q1805" s="15" t="s">
        <v>1092</v>
      </c>
      <c r="R1805" s="17" t="s">
        <v>2533</v>
      </c>
      <c r="S1805" s="11"/>
      <c r="T1805" s="11"/>
      <c r="U1805" s="10" t="str">
        <f>HYPERLINK("https://pbs.twimg.com/profile_images/1065624816466710528/fcRylVWY.jpg","View")</f>
        <v>View</v>
      </c>
    </row>
    <row r="1806" spans="1:21" ht="30.6">
      <c r="A1806" s="6">
        <v>43439.420601851853</v>
      </c>
      <c r="B1806" s="7" t="str">
        <f>HYPERLINK("https://twitter.com/Ixone_SH","@Ixone_SH")</f>
        <v>@Ixone_SH</v>
      </c>
      <c r="C1806" s="8" t="s">
        <v>6298</v>
      </c>
      <c r="D1806" s="9" t="s">
        <v>6339</v>
      </c>
      <c r="E1806" s="10" t="str">
        <f>HYPERLINK("https://twitter.com/Ixone_SH/status/1070242790548881408","1070242790548881408")</f>
        <v>1070242790548881408</v>
      </c>
      <c r="F1806" s="11"/>
      <c r="G1806" s="11"/>
      <c r="H1806" s="11"/>
      <c r="I1806" s="12">
        <v>0</v>
      </c>
      <c r="J1806" s="12">
        <v>1</v>
      </c>
      <c r="K1806" s="13" t="str">
        <f t="shared" si="405"/>
        <v>Twitter for iPhone</v>
      </c>
      <c r="L1806" s="12">
        <v>1644</v>
      </c>
      <c r="M1806" s="12">
        <v>1619</v>
      </c>
      <c r="N1806" s="12">
        <v>58</v>
      </c>
      <c r="O1806" s="14"/>
      <c r="P1806" s="6">
        <v>40303.579594907409</v>
      </c>
      <c r="Q1806" s="15" t="s">
        <v>6300</v>
      </c>
      <c r="R1806" s="17" t="s">
        <v>6301</v>
      </c>
      <c r="S1806" s="11"/>
      <c r="T1806" s="11"/>
      <c r="U1806" s="10" t="str">
        <f>HYPERLINK("https://pbs.twimg.com/profile_images/805796380753199105/svaJgXgK.jpg","View")</f>
        <v>View</v>
      </c>
    </row>
    <row r="1807" spans="1:21" ht="30.6">
      <c r="A1807" s="6">
        <v>43439.420590277776</v>
      </c>
      <c r="B1807" s="7" t="str">
        <f>HYPERLINK("https://twitter.com/gadorjoya","@gadorjoya")</f>
        <v>@gadorjoya</v>
      </c>
      <c r="C1807" s="8" t="s">
        <v>6180</v>
      </c>
      <c r="D1807" s="9" t="s">
        <v>6340</v>
      </c>
      <c r="E1807" s="10" t="str">
        <f>HYPERLINK("https://twitter.com/gadorjoya/status/1070242787885486080","1070242787885486080")</f>
        <v>1070242787885486080</v>
      </c>
      <c r="F1807" s="11"/>
      <c r="G1807" s="11"/>
      <c r="H1807" s="11"/>
      <c r="I1807" s="12">
        <v>3</v>
      </c>
      <c r="J1807" s="12">
        <v>1</v>
      </c>
      <c r="K1807" s="13" t="str">
        <f>HYPERLINK("https://mobile.twitter.com","Twitter Lite")</f>
        <v>Twitter Lite</v>
      </c>
      <c r="L1807" s="12">
        <v>6857</v>
      </c>
      <c r="M1807" s="12">
        <v>1629</v>
      </c>
      <c r="N1807" s="12">
        <v>125</v>
      </c>
      <c r="O1807" s="14"/>
      <c r="P1807" s="6">
        <v>40120.567349537036</v>
      </c>
      <c r="Q1807" s="15" t="s">
        <v>612</v>
      </c>
      <c r="R1807" s="18"/>
      <c r="S1807" s="11"/>
      <c r="T1807" s="11"/>
      <c r="U1807" s="10" t="str">
        <f>HYPERLINK("https://pbs.twimg.com/profile_images/871478927319072768/Kgou3D4F.jpg","View")</f>
        <v>View</v>
      </c>
    </row>
    <row r="1808" spans="1:21" ht="51">
      <c r="A1808" s="6">
        <v>43439.419907407406</v>
      </c>
      <c r="B1808" s="7" t="str">
        <f>HYPERLINK("https://twitter.com/elektrablue2","@elektrablue2")</f>
        <v>@elektrablue2</v>
      </c>
      <c r="C1808" s="8" t="s">
        <v>6303</v>
      </c>
      <c r="D1808" s="9" t="s">
        <v>6341</v>
      </c>
      <c r="E1808" s="10" t="str">
        <f>HYPERLINK("https://twitter.com/elektrablue2/status/1070242541059096576","1070242541059096576")</f>
        <v>1070242541059096576</v>
      </c>
      <c r="F1808" s="11"/>
      <c r="G1808" s="11"/>
      <c r="H1808" s="11"/>
      <c r="I1808" s="12">
        <v>0</v>
      </c>
      <c r="J1808" s="12">
        <v>3</v>
      </c>
      <c r="K1808" s="13" t="str">
        <f>HYPERLINK("http://twitter.com/download/android","Twitter for Android")</f>
        <v>Twitter for Android</v>
      </c>
      <c r="L1808" s="12">
        <v>214</v>
      </c>
      <c r="M1808" s="12">
        <v>671</v>
      </c>
      <c r="N1808" s="12">
        <v>3</v>
      </c>
      <c r="O1808" s="14"/>
      <c r="P1808" s="6">
        <v>43069.553298611107</v>
      </c>
      <c r="Q1808" s="11"/>
      <c r="R1808" s="17" t="s">
        <v>6305</v>
      </c>
      <c r="S1808" s="11"/>
      <c r="T1808" s="11"/>
      <c r="U1808" s="10" t="str">
        <f>HYPERLINK("https://pbs.twimg.com/profile_images/1054615725342625792/AcEsftMO.jpg","View")</f>
        <v>View</v>
      </c>
    </row>
    <row r="1809" spans="1:21" ht="51">
      <c r="A1809" s="6">
        <v>43439.419675925921</v>
      </c>
      <c r="B1809" s="7" t="str">
        <f>HYPERLINK("https://twitter.com/zakacheddadi","@zakacheddadi")</f>
        <v>@zakacheddadi</v>
      </c>
      <c r="C1809" s="8" t="s">
        <v>6342</v>
      </c>
      <c r="D1809" s="9" t="s">
        <v>6343</v>
      </c>
      <c r="E1809" s="10" t="str">
        <f>HYPERLINK("https://twitter.com/zakacheddadi/status/1070242458812997632","1070242458812997632")</f>
        <v>1070242458812997632</v>
      </c>
      <c r="F1809" s="11"/>
      <c r="G1809" s="11"/>
      <c r="H1809" s="11"/>
      <c r="I1809" s="12">
        <v>0</v>
      </c>
      <c r="J1809" s="12">
        <v>0</v>
      </c>
      <c r="K1809" s="13" t="str">
        <f>HYPERLINK("https://mobile.twitter.com","Twitter Lite")</f>
        <v>Twitter Lite</v>
      </c>
      <c r="L1809" s="12">
        <v>134</v>
      </c>
      <c r="M1809" s="12">
        <v>608</v>
      </c>
      <c r="N1809" s="12">
        <v>2</v>
      </c>
      <c r="O1809" s="14"/>
      <c r="P1809" s="6">
        <v>41745.830694444448</v>
      </c>
      <c r="Q1809" s="15" t="s">
        <v>6344</v>
      </c>
      <c r="R1809" s="17" t="s">
        <v>6345</v>
      </c>
      <c r="S1809" s="11"/>
      <c r="T1809" s="11"/>
      <c r="U1809" s="10" t="str">
        <f>HYPERLINK("https://pbs.twimg.com/profile_images/871403430933344257/dSO0xgXR.jpg","View")</f>
        <v>View</v>
      </c>
    </row>
    <row r="1810" spans="1:21" ht="13.2">
      <c r="A1810" s="6">
        <v>43439.419502314813</v>
      </c>
      <c r="B1810" s="7" t="str">
        <f>HYPERLINK("https://twitter.com/ManuDarko5","@ManuDarko5")</f>
        <v>@ManuDarko5</v>
      </c>
      <c r="C1810" s="8" t="s">
        <v>6346</v>
      </c>
      <c r="D1810" s="9" t="s">
        <v>6347</v>
      </c>
      <c r="E1810" s="10" t="str">
        <f>HYPERLINK("https://twitter.com/ManuDarko5/status/1070242395801993217","1070242395801993217")</f>
        <v>1070242395801993217</v>
      </c>
      <c r="F1810" s="11"/>
      <c r="G1810" s="11"/>
      <c r="H1810" s="11"/>
      <c r="I1810" s="12">
        <v>0</v>
      </c>
      <c r="J1810" s="12">
        <v>1</v>
      </c>
      <c r="K1810" s="13" t="str">
        <f t="shared" ref="K1810:K1812" si="406">HYPERLINK("http://twitter.com/download/android","Twitter for Android")</f>
        <v>Twitter for Android</v>
      </c>
      <c r="L1810" s="12">
        <v>280</v>
      </c>
      <c r="M1810" s="12">
        <v>502</v>
      </c>
      <c r="N1810" s="12">
        <v>10</v>
      </c>
      <c r="O1810" s="14"/>
      <c r="P1810" s="6">
        <v>40420.687314814815</v>
      </c>
      <c r="Q1810" s="15" t="s">
        <v>6348</v>
      </c>
      <c r="R1810" s="17" t="s">
        <v>6349</v>
      </c>
      <c r="S1810" s="16" t="s">
        <v>6350</v>
      </c>
      <c r="T1810" s="11"/>
      <c r="U1810" s="10" t="str">
        <f>HYPERLINK("https://pbs.twimg.com/profile_images/1069882130283618306/t4ngIDRy.jpg","View")</f>
        <v>View</v>
      </c>
    </row>
    <row r="1811" spans="1:21" ht="30.6">
      <c r="A1811" s="6">
        <v>43439.419270833328</v>
      </c>
      <c r="B1811" s="7" t="str">
        <f>HYPERLINK("https://twitter.com/Vox_Murcia","@Vox_Murcia")</f>
        <v>@Vox_Murcia</v>
      </c>
      <c r="C1811" s="8" t="s">
        <v>6351</v>
      </c>
      <c r="D1811" s="9" t="s">
        <v>6352</v>
      </c>
      <c r="E1811" s="10" t="str">
        <f>HYPERLINK("https://twitter.com/Vox_Murcia/status/1070242309420314624","1070242309420314624")</f>
        <v>1070242309420314624</v>
      </c>
      <c r="F1811" s="16" t="s">
        <v>6353</v>
      </c>
      <c r="G1811" s="11"/>
      <c r="H1811" s="11"/>
      <c r="I1811" s="12">
        <v>27</v>
      </c>
      <c r="J1811" s="12">
        <v>41</v>
      </c>
      <c r="K1811" s="13" t="str">
        <f t="shared" si="406"/>
        <v>Twitter for Android</v>
      </c>
      <c r="L1811" s="12">
        <v>3287</v>
      </c>
      <c r="M1811" s="12">
        <v>3610</v>
      </c>
      <c r="N1811" s="12">
        <v>44</v>
      </c>
      <c r="O1811" s="14"/>
      <c r="P1811" s="6">
        <v>41706.990370370375</v>
      </c>
      <c r="Q1811" s="15" t="s">
        <v>6354</v>
      </c>
      <c r="R1811" s="17" t="s">
        <v>6355</v>
      </c>
      <c r="S1811" s="16" t="s">
        <v>1740</v>
      </c>
      <c r="T1811" s="11"/>
      <c r="U1811" s="10" t="str">
        <f>HYPERLINK("https://pbs.twimg.com/profile_images/1007020887571419136/2qcNDfwR.jpg","View")</f>
        <v>View</v>
      </c>
    </row>
    <row r="1812" spans="1:21" ht="30.6">
      <c r="A1812" s="6">
        <v>43439.419131944444</v>
      </c>
      <c r="B1812" s="7" t="str">
        <f>HYPERLINK("https://twitter.com/MARIAPerezFern","@MARIAPerezFern")</f>
        <v>@MARIAPerezFern</v>
      </c>
      <c r="C1812" s="8" t="s">
        <v>6238</v>
      </c>
      <c r="D1812" s="9" t="s">
        <v>6356</v>
      </c>
      <c r="E1812" s="10" t="str">
        <f>HYPERLINK("https://twitter.com/MARIAPerezFern/status/1070242258870562817","1070242258870562817")</f>
        <v>1070242258870562817</v>
      </c>
      <c r="F1812" s="11"/>
      <c r="G1812" s="11"/>
      <c r="H1812" s="11"/>
      <c r="I1812" s="12">
        <v>2</v>
      </c>
      <c r="J1812" s="12">
        <v>8</v>
      </c>
      <c r="K1812" s="13" t="str">
        <f t="shared" si="406"/>
        <v>Twitter for Android</v>
      </c>
      <c r="L1812" s="12">
        <v>2192</v>
      </c>
      <c r="M1812" s="12">
        <v>2224</v>
      </c>
      <c r="N1812" s="12">
        <v>32</v>
      </c>
      <c r="O1812" s="14"/>
      <c r="P1812" s="6">
        <v>41458.632418981484</v>
      </c>
      <c r="Q1812" s="15" t="s">
        <v>5629</v>
      </c>
      <c r="R1812" s="17" t="s">
        <v>6240</v>
      </c>
      <c r="S1812" s="11"/>
      <c r="T1812" s="11"/>
      <c r="U1812" s="10" t="str">
        <f>HYPERLINK("https://pbs.twimg.com/profile_images/1062830273992318976/xCF0muOM.jpg","View")</f>
        <v>View</v>
      </c>
    </row>
    <row r="1813" spans="1:21" ht="20.399999999999999">
      <c r="A1813" s="6">
        <v>43439.419027777782</v>
      </c>
      <c r="B1813" s="7" t="str">
        <f>HYPERLINK("https://twitter.com/gadorjoya","@gadorjoya")</f>
        <v>@gadorjoya</v>
      </c>
      <c r="C1813" s="8" t="s">
        <v>6180</v>
      </c>
      <c r="D1813" s="9" t="s">
        <v>6357</v>
      </c>
      <c r="E1813" s="10" t="str">
        <f>HYPERLINK("https://twitter.com/gadorjoya/status/1070242219980963840","1070242219980963840")</f>
        <v>1070242219980963840</v>
      </c>
      <c r="F1813" s="11"/>
      <c r="G1813" s="11"/>
      <c r="H1813" s="11"/>
      <c r="I1813" s="12">
        <v>1</v>
      </c>
      <c r="J1813" s="12">
        <v>1</v>
      </c>
      <c r="K1813" s="13" t="str">
        <f>HYPERLINK("https://mobile.twitter.com","Twitter Lite")</f>
        <v>Twitter Lite</v>
      </c>
      <c r="L1813" s="12">
        <v>6857</v>
      </c>
      <c r="M1813" s="12">
        <v>1629</v>
      </c>
      <c r="N1813" s="12">
        <v>125</v>
      </c>
      <c r="O1813" s="14"/>
      <c r="P1813" s="6">
        <v>40120.567349537036</v>
      </c>
      <c r="Q1813" s="15" t="s">
        <v>612</v>
      </c>
      <c r="R1813" s="18"/>
      <c r="S1813" s="11"/>
      <c r="T1813" s="11"/>
      <c r="U1813" s="10" t="str">
        <f>HYPERLINK("https://pbs.twimg.com/profile_images/871478927319072768/Kgou3D4F.jpg","View")</f>
        <v>View</v>
      </c>
    </row>
    <row r="1814" spans="1:21" ht="13.2">
      <c r="A1814" s="6">
        <v>43439.418993055559</v>
      </c>
      <c r="B1814" s="7" t="str">
        <f>HYPERLINK("https://twitter.com/RaulRuiz73","@RaulRuiz73")</f>
        <v>@RaulRuiz73</v>
      </c>
      <c r="C1814" s="8" t="s">
        <v>6316</v>
      </c>
      <c r="D1814" s="9" t="s">
        <v>6358</v>
      </c>
      <c r="E1814" s="10" t="str">
        <f>HYPERLINK("https://twitter.com/RaulRuiz73/status/1070242210271150082","1070242210271150082")</f>
        <v>1070242210271150082</v>
      </c>
      <c r="F1814" s="11"/>
      <c r="G1814" s="11"/>
      <c r="H1814" s="11"/>
      <c r="I1814" s="12">
        <v>1</v>
      </c>
      <c r="J1814" s="12">
        <v>3</v>
      </c>
      <c r="K1814" s="13" t="str">
        <f>HYPERLINK("http://twitter.com/download/android","Twitter for Android")</f>
        <v>Twitter for Android</v>
      </c>
      <c r="L1814" s="12">
        <v>852</v>
      </c>
      <c r="M1814" s="12">
        <v>1426</v>
      </c>
      <c r="N1814" s="12">
        <v>14</v>
      </c>
      <c r="O1814" s="14"/>
      <c r="P1814" s="6">
        <v>40902.838252314818</v>
      </c>
      <c r="Q1814" s="15" t="s">
        <v>6318</v>
      </c>
      <c r="R1814" s="17" t="s">
        <v>6319</v>
      </c>
      <c r="S1814" s="11"/>
      <c r="T1814" s="11"/>
      <c r="U1814" s="10" t="str">
        <f>HYPERLINK("https://pbs.twimg.com/profile_images/1037824447162605568/KcIZW33c.jpg","View")</f>
        <v>View</v>
      </c>
    </row>
    <row r="1815" spans="1:21" ht="30.6">
      <c r="A1815" s="6">
        <v>43439.418888888889</v>
      </c>
      <c r="B1815" s="7" t="str">
        <f>HYPERLINK("https://twitter.com/moira_reyes","@moira_reyes")</f>
        <v>@moira_reyes</v>
      </c>
      <c r="C1815" s="8" t="s">
        <v>6359</v>
      </c>
      <c r="D1815" s="9" t="s">
        <v>6360</v>
      </c>
      <c r="E1815" s="10" t="str">
        <f>HYPERLINK("https://twitter.com/moira_reyes/status/1070242172061052928","1070242172061052928")</f>
        <v>1070242172061052928</v>
      </c>
      <c r="F1815" s="11"/>
      <c r="G1815" s="11"/>
      <c r="H1815" s="11"/>
      <c r="I1815" s="12">
        <v>13</v>
      </c>
      <c r="J1815" s="12">
        <v>27</v>
      </c>
      <c r="K1815" s="13" t="str">
        <f t="shared" ref="K1815:K1816" si="407">HYPERLINK("http://twitter.com/download/iphone","Twitter for iPhone")</f>
        <v>Twitter for iPhone</v>
      </c>
      <c r="L1815" s="12">
        <v>128</v>
      </c>
      <c r="M1815" s="12">
        <v>161</v>
      </c>
      <c r="N1815" s="12">
        <v>1</v>
      </c>
      <c r="O1815" s="14"/>
      <c r="P1815" s="6">
        <v>41070.048344907409</v>
      </c>
      <c r="Q1815" s="15" t="s">
        <v>612</v>
      </c>
      <c r="R1815" s="17" t="s">
        <v>6361</v>
      </c>
      <c r="S1815" s="11"/>
      <c r="T1815" s="11"/>
      <c r="U1815" s="10" t="str">
        <f>HYPERLINK("https://pbs.twimg.com/profile_images/3206217325/efa2e30e35c59dff56544a64c7d31452.jpeg","View")</f>
        <v>View</v>
      </c>
    </row>
    <row r="1816" spans="1:21" ht="30.6">
      <c r="A1816" s="6">
        <v>43439.418541666666</v>
      </c>
      <c r="B1816" s="7" t="str">
        <f>HYPERLINK("https://twitter.com/Ixone_SH","@Ixone_SH")</f>
        <v>@Ixone_SH</v>
      </c>
      <c r="C1816" s="8" t="s">
        <v>6298</v>
      </c>
      <c r="D1816" s="9" t="s">
        <v>6362</v>
      </c>
      <c r="E1816" s="10" t="str">
        <f>HYPERLINK("https://twitter.com/Ixone_SH/status/1070242043933454336","1070242043933454336")</f>
        <v>1070242043933454336</v>
      </c>
      <c r="F1816" s="11"/>
      <c r="G1816" s="11"/>
      <c r="H1816" s="11"/>
      <c r="I1816" s="12">
        <v>0</v>
      </c>
      <c r="J1816" s="12">
        <v>3</v>
      </c>
      <c r="K1816" s="13" t="str">
        <f t="shared" si="407"/>
        <v>Twitter for iPhone</v>
      </c>
      <c r="L1816" s="12">
        <v>1644</v>
      </c>
      <c r="M1816" s="12">
        <v>1619</v>
      </c>
      <c r="N1816" s="12">
        <v>58</v>
      </c>
      <c r="O1816" s="14"/>
      <c r="P1816" s="6">
        <v>40303.579594907409</v>
      </c>
      <c r="Q1816" s="15" t="s">
        <v>6300</v>
      </c>
      <c r="R1816" s="17" t="s">
        <v>6301</v>
      </c>
      <c r="S1816" s="11"/>
      <c r="T1816" s="11"/>
      <c r="U1816" s="10" t="str">
        <f>HYPERLINK("https://pbs.twimg.com/profile_images/805796380753199105/svaJgXgK.jpg","View")</f>
        <v>View</v>
      </c>
    </row>
    <row r="1817" spans="1:21" ht="30.6">
      <c r="A1817" s="6">
        <v>43439.41851851852</v>
      </c>
      <c r="B1817" s="7" t="str">
        <f>HYPERLINK("https://twitter.com/silvia0907","@silvia0907")</f>
        <v>@silvia0907</v>
      </c>
      <c r="C1817" s="8" t="s">
        <v>4541</v>
      </c>
      <c r="D1817" s="9" t="s">
        <v>6363</v>
      </c>
      <c r="E1817" s="10" t="str">
        <f>HYPERLINK("https://twitter.com/silvia0907/status/1070242037121892352","1070242037121892352")</f>
        <v>1070242037121892352</v>
      </c>
      <c r="F1817" s="11"/>
      <c r="G1817" s="11"/>
      <c r="H1817" s="11"/>
      <c r="I1817" s="12">
        <v>3</v>
      </c>
      <c r="J1817" s="12">
        <v>7</v>
      </c>
      <c r="K1817" s="13" t="str">
        <f>HYPERLINK("http://twitter.com/download/android","Twitter for Android")</f>
        <v>Twitter for Android</v>
      </c>
      <c r="L1817" s="12">
        <v>3671</v>
      </c>
      <c r="M1817" s="12">
        <v>63</v>
      </c>
      <c r="N1817" s="12">
        <v>53</v>
      </c>
      <c r="O1817" s="14"/>
      <c r="P1817" s="6">
        <v>41394.656006944446</v>
      </c>
      <c r="Q1817" s="15" t="s">
        <v>612</v>
      </c>
      <c r="R1817" s="17" t="s">
        <v>4544</v>
      </c>
      <c r="S1817" s="11"/>
      <c r="T1817" s="11"/>
      <c r="U1817" s="10" t="str">
        <f>HYPERLINK("https://pbs.twimg.com/profile_images/967044247273791489/I3V7XbPG.jpg","View")</f>
        <v>View</v>
      </c>
    </row>
    <row r="1818" spans="1:21" ht="51">
      <c r="A1818" s="6">
        <v>43439.41815972222</v>
      </c>
      <c r="B1818" s="7" t="str">
        <f>HYPERLINK("https://twitter.com/BastosAsde","@BastosAsde")</f>
        <v>@BastosAsde</v>
      </c>
      <c r="C1818" s="8" t="s">
        <v>6364</v>
      </c>
      <c r="D1818" s="9" t="s">
        <v>6365</v>
      </c>
      <c r="E1818" s="10" t="str">
        <f>HYPERLINK("https://twitter.com/BastosAsde/status/1070241906641248256","1070241906641248256")</f>
        <v>1070241906641248256</v>
      </c>
      <c r="F1818" s="11"/>
      <c r="G1818" s="11"/>
      <c r="H1818" s="11"/>
      <c r="I1818" s="12">
        <v>0</v>
      </c>
      <c r="J1818" s="12">
        <v>1</v>
      </c>
      <c r="K1818" s="13" t="str">
        <f>HYPERLINK("http://twitter.com/download/iphone","Twitter for iPhone")</f>
        <v>Twitter for iPhone</v>
      </c>
      <c r="L1818" s="12">
        <v>159</v>
      </c>
      <c r="M1818" s="12">
        <v>274</v>
      </c>
      <c r="N1818" s="12">
        <v>0</v>
      </c>
      <c r="O1818" s="14"/>
      <c r="P1818" s="6">
        <v>43332.755162037036</v>
      </c>
      <c r="Q1818" s="11"/>
      <c r="R1818" s="17" t="s">
        <v>6366</v>
      </c>
      <c r="S1818" s="11"/>
      <c r="T1818" s="11"/>
      <c r="U1818" s="10" t="str">
        <f>HYPERLINK("https://pbs.twimg.com/profile_images/1031576263838900224/_pdBS-Kl.jpg","View")</f>
        <v>View</v>
      </c>
    </row>
    <row r="1819" spans="1:21" ht="40.799999999999997">
      <c r="A1819" s="6">
        <v>43439.41814814815</v>
      </c>
      <c r="B1819" s="7" t="str">
        <f>HYPERLINK("https://twitter.com/smallvenecia","@smallvenecia")</f>
        <v>@smallvenecia</v>
      </c>
      <c r="C1819" s="8" t="s">
        <v>6367</v>
      </c>
      <c r="D1819" s="9" t="s">
        <v>6368</v>
      </c>
      <c r="E1819" s="10" t="str">
        <f>HYPERLINK("https://twitter.com/smallvenecia/status/1070241901759090688","1070241901759090688")</f>
        <v>1070241901759090688</v>
      </c>
      <c r="F1819" s="11"/>
      <c r="G1819" s="11"/>
      <c r="H1819" s="11"/>
      <c r="I1819" s="12">
        <v>0</v>
      </c>
      <c r="J1819" s="12">
        <v>2</v>
      </c>
      <c r="K1819" s="13" t="str">
        <f>HYPERLINK("http://twitter.com","Twitter Web Client")</f>
        <v>Twitter Web Client</v>
      </c>
      <c r="L1819" s="12">
        <v>33</v>
      </c>
      <c r="M1819" s="12">
        <v>32</v>
      </c>
      <c r="N1819" s="12">
        <v>0</v>
      </c>
      <c r="O1819" s="14"/>
      <c r="P1819" s="6">
        <v>41009.859571759262</v>
      </c>
      <c r="Q1819" s="11"/>
      <c r="R1819" s="17" t="s">
        <v>6369</v>
      </c>
      <c r="S1819" s="11"/>
      <c r="T1819" s="11"/>
      <c r="U1819" s="10" t="str">
        <f>HYPERLINK("https://pbs.twimg.com/profile_images/1002246320009211904/m8XvRKbj.jpg","View")</f>
        <v>View</v>
      </c>
    </row>
    <row r="1820" spans="1:21" ht="51">
      <c r="A1820" s="6">
        <v>43439.41810185185</v>
      </c>
      <c r="B1820" s="7" t="str">
        <f>HYPERLINK("https://twitter.com/Chusbrave","@Chusbrave")</f>
        <v>@Chusbrave</v>
      </c>
      <c r="C1820" s="8" t="s">
        <v>4749</v>
      </c>
      <c r="D1820" s="9" t="s">
        <v>6370</v>
      </c>
      <c r="E1820" s="10" t="str">
        <f>HYPERLINK("https://twitter.com/Chusbrave/status/1070241885762015232","1070241885762015232")</f>
        <v>1070241885762015232</v>
      </c>
      <c r="F1820" s="11"/>
      <c r="G1820" s="11"/>
      <c r="H1820" s="11"/>
      <c r="I1820" s="12">
        <v>0</v>
      </c>
      <c r="J1820" s="12">
        <v>2</v>
      </c>
      <c r="K1820" s="13" t="str">
        <f>HYPERLINK("http://twitter.com/download/iphone","Twitter for iPhone")</f>
        <v>Twitter for iPhone</v>
      </c>
      <c r="L1820" s="12">
        <v>325</v>
      </c>
      <c r="M1820" s="12">
        <v>355</v>
      </c>
      <c r="N1820" s="12">
        <v>7</v>
      </c>
      <c r="O1820" s="14"/>
      <c r="P1820" s="6">
        <v>40855.030833333338</v>
      </c>
      <c r="Q1820" s="15" t="s">
        <v>612</v>
      </c>
      <c r="R1820" s="17" t="s">
        <v>4752</v>
      </c>
      <c r="S1820" s="11"/>
      <c r="T1820" s="11"/>
      <c r="U1820" s="10" t="str">
        <f>HYPERLINK("https://pbs.twimg.com/profile_images/1649077231/twitter.JPG","View")</f>
        <v>View</v>
      </c>
    </row>
    <row r="1821" spans="1:21" ht="51">
      <c r="A1821" s="6">
        <v>43439.41805555555</v>
      </c>
      <c r="B1821" s="7" t="str">
        <f>HYPERLINK("https://twitter.com/bitMomentum","@bitMomentum")</f>
        <v>@bitMomentum</v>
      </c>
      <c r="C1821" s="8" t="s">
        <v>82</v>
      </c>
      <c r="D1821" s="9" t="s">
        <v>6371</v>
      </c>
      <c r="E1821" s="10" t="str">
        <f>HYPERLINK("https://twitter.com/bitMomentum/status/1070241868364038149","1070241868364038149")</f>
        <v>1070241868364038149</v>
      </c>
      <c r="F1821" s="11"/>
      <c r="G1821" s="11"/>
      <c r="H1821" s="11"/>
      <c r="I1821" s="12">
        <v>0</v>
      </c>
      <c r="J1821" s="12">
        <v>0</v>
      </c>
      <c r="K1821" s="13" t="str">
        <f>HYPERLINK("http://www.bitmomentum.com","bitMomentum Bot")</f>
        <v>bitMomentum Bot</v>
      </c>
      <c r="L1821" s="12">
        <v>10253</v>
      </c>
      <c r="M1821" s="12">
        <v>1059</v>
      </c>
      <c r="N1821" s="12">
        <v>263</v>
      </c>
      <c r="O1821" s="14"/>
      <c r="P1821" s="6">
        <v>41608.667511574073</v>
      </c>
      <c r="Q1821" s="11"/>
      <c r="R1821" s="17" t="s">
        <v>84</v>
      </c>
      <c r="S1821" s="16" t="s">
        <v>85</v>
      </c>
      <c r="T1821" s="11"/>
      <c r="U1821" s="10" t="str">
        <f>HYPERLINK("https://pbs.twimg.com/profile_images/378800000862185241/20ij2H3u.png","View")</f>
        <v>View</v>
      </c>
    </row>
    <row r="1822" spans="1:21" ht="13.2">
      <c r="A1822" s="6">
        <v>43439.417719907404</v>
      </c>
      <c r="B1822" s="7" t="str">
        <f>HYPERLINK("https://twitter.com/Manuelo85417482","@Manuelo85417482")</f>
        <v>@Manuelo85417482</v>
      </c>
      <c r="C1822" s="8" t="s">
        <v>5718</v>
      </c>
      <c r="D1822" s="9" t="s">
        <v>6372</v>
      </c>
      <c r="E1822" s="10" t="str">
        <f>HYPERLINK("https://twitter.com/Manuelo85417482/status/1070241747995951104","1070241747995951104")</f>
        <v>1070241747995951104</v>
      </c>
      <c r="F1822" s="11"/>
      <c r="G1822" s="11"/>
      <c r="H1822" s="11"/>
      <c r="I1822" s="12">
        <v>0</v>
      </c>
      <c r="J1822" s="12">
        <v>0</v>
      </c>
      <c r="K1822" s="13" t="str">
        <f>HYPERLINK("http://twitter.com/download/android","Twitter for Android")</f>
        <v>Twitter for Android</v>
      </c>
      <c r="L1822" s="12">
        <v>245</v>
      </c>
      <c r="M1822" s="12">
        <v>387</v>
      </c>
      <c r="N1822" s="12">
        <v>0</v>
      </c>
      <c r="O1822" s="14"/>
      <c r="P1822" s="6">
        <v>43330.86173611111</v>
      </c>
      <c r="Q1822" s="15" t="s">
        <v>5722</v>
      </c>
      <c r="R1822" s="17" t="s">
        <v>5723</v>
      </c>
      <c r="S1822" s="11"/>
      <c r="T1822" s="11"/>
      <c r="U1822" s="10" t="str">
        <f>HYPERLINK("https://pbs.twimg.com/profile_images/1050146083081506817/EFC5GZdg.jpg","View")</f>
        <v>View</v>
      </c>
    </row>
    <row r="1823" spans="1:21" ht="20.399999999999999">
      <c r="A1823" s="6">
        <v>43439.417627314819</v>
      </c>
      <c r="B1823" s="7" t="str">
        <f>HYPERLINK("https://twitter.com/GladiatorHonra1","@GladiatorHonra1")</f>
        <v>@GladiatorHonra1</v>
      </c>
      <c r="C1823" s="8" t="s">
        <v>6373</v>
      </c>
      <c r="D1823" s="9" t="s">
        <v>6374</v>
      </c>
      <c r="E1823" s="10" t="str">
        <f>HYPERLINK("https://twitter.com/GladiatorHonra1/status/1070241713434685440","1070241713434685440")</f>
        <v>1070241713434685440</v>
      </c>
      <c r="F1823" s="11"/>
      <c r="G1823" s="11"/>
      <c r="H1823" s="11"/>
      <c r="I1823" s="12">
        <v>0</v>
      </c>
      <c r="J1823" s="12">
        <v>2</v>
      </c>
      <c r="K1823" s="13" t="str">
        <f>HYPERLINK("http://twitter.com/download/iphone","Twitter for iPhone")</f>
        <v>Twitter for iPhone</v>
      </c>
      <c r="L1823" s="12">
        <v>56</v>
      </c>
      <c r="M1823" s="12">
        <v>153</v>
      </c>
      <c r="N1823" s="12">
        <v>3</v>
      </c>
      <c r="O1823" s="14"/>
      <c r="P1823" s="6">
        <v>42497.459710648152</v>
      </c>
      <c r="Q1823" s="11"/>
      <c r="R1823" s="17" t="s">
        <v>6375</v>
      </c>
      <c r="S1823" s="11"/>
      <c r="T1823" s="11"/>
      <c r="U1823" s="10" t="str">
        <f>HYPERLINK("https://pbs.twimg.com/profile_images/728873981885960193/3-scy-KC.jpg","View")</f>
        <v>View</v>
      </c>
    </row>
    <row r="1824" spans="1:21" ht="51">
      <c r="A1824" s="6">
        <v>43439.417361111111</v>
      </c>
      <c r="B1824" s="7" t="str">
        <f>HYPERLINK("https://twitter.com/bitMomentum","@bitMomentum")</f>
        <v>@bitMomentum</v>
      </c>
      <c r="C1824" s="8" t="s">
        <v>82</v>
      </c>
      <c r="D1824" s="9" t="s">
        <v>6376</v>
      </c>
      <c r="E1824" s="10" t="str">
        <f>HYPERLINK("https://twitter.com/bitMomentum/status/1070241616441556992","1070241616441556992")</f>
        <v>1070241616441556992</v>
      </c>
      <c r="F1824" s="11"/>
      <c r="G1824" s="11"/>
      <c r="H1824" s="11"/>
      <c r="I1824" s="12">
        <v>0</v>
      </c>
      <c r="J1824" s="12">
        <v>0</v>
      </c>
      <c r="K1824" s="13" t="str">
        <f>HYPERLINK("http://www.bitmomentum.com","bitMomentum Bot")</f>
        <v>bitMomentum Bot</v>
      </c>
      <c r="L1824" s="12">
        <v>10253</v>
      </c>
      <c r="M1824" s="12">
        <v>1059</v>
      </c>
      <c r="N1824" s="12">
        <v>263</v>
      </c>
      <c r="O1824" s="14"/>
      <c r="P1824" s="6">
        <v>41608.667511574073</v>
      </c>
      <c r="Q1824" s="11"/>
      <c r="R1824" s="17" t="s">
        <v>84</v>
      </c>
      <c r="S1824" s="16" t="s">
        <v>85</v>
      </c>
      <c r="T1824" s="11"/>
      <c r="U1824" s="10" t="str">
        <f>HYPERLINK("https://pbs.twimg.com/profile_images/378800000862185241/20ij2H3u.png","View")</f>
        <v>View</v>
      </c>
    </row>
    <row r="1825" spans="1:21" ht="61.2">
      <c r="A1825" s="6">
        <v>43439.416770833333</v>
      </c>
      <c r="B1825" s="7" t="str">
        <f>HYPERLINK("https://twitter.com/Desayunos_tve","@Desayunos_tve")</f>
        <v>@Desayunos_tve</v>
      </c>
      <c r="C1825" s="8" t="s">
        <v>6377</v>
      </c>
      <c r="D1825" s="9" t="s">
        <v>6378</v>
      </c>
      <c r="E1825" s="10" t="str">
        <f>HYPERLINK("https://twitter.com/Desayunos_tve/status/1070241404247396353","1070241404247396353")</f>
        <v>1070241404247396353</v>
      </c>
      <c r="F1825" s="11"/>
      <c r="G1825" s="16" t="s">
        <v>6379</v>
      </c>
      <c r="H1825" s="11"/>
      <c r="I1825" s="12">
        <v>13</v>
      </c>
      <c r="J1825" s="12">
        <v>17</v>
      </c>
      <c r="K1825" s="13" t="str">
        <f>HYPERLINK("http://snappytv.com","SnappyTV.com")</f>
        <v>SnappyTV.com</v>
      </c>
      <c r="L1825" s="12">
        <v>21484</v>
      </c>
      <c r="M1825" s="12">
        <v>117</v>
      </c>
      <c r="N1825" s="12">
        <v>348</v>
      </c>
      <c r="O1825" s="23" t="s">
        <v>89</v>
      </c>
      <c r="P1825" s="6">
        <v>41156.546666666669</v>
      </c>
      <c r="Q1825" s="15" t="s">
        <v>612</v>
      </c>
      <c r="R1825" s="17" t="s">
        <v>6380</v>
      </c>
      <c r="S1825" s="16" t="s">
        <v>6381</v>
      </c>
      <c r="T1825" s="11"/>
      <c r="U1825" s="10" t="str">
        <f>HYPERLINK("https://pbs.twimg.com/profile_images/1036651148000813056/VI5-6V6y.jpg","View")</f>
        <v>View</v>
      </c>
    </row>
    <row r="1826" spans="1:21" ht="20.399999999999999">
      <c r="A1826" s="6">
        <v>43439.416377314818</v>
      </c>
      <c r="B1826" s="7" t="str">
        <f>HYPERLINK("https://twitter.com/thesuper83","@thesuper83")</f>
        <v>@thesuper83</v>
      </c>
      <c r="C1826" s="8" t="s">
        <v>6382</v>
      </c>
      <c r="D1826" s="9" t="s">
        <v>6383</v>
      </c>
      <c r="E1826" s="10" t="str">
        <f>HYPERLINK("https://twitter.com/thesuper83/status/1070241262391963650","1070241262391963650")</f>
        <v>1070241262391963650</v>
      </c>
      <c r="F1826" s="11"/>
      <c r="G1826" s="11"/>
      <c r="H1826" s="11"/>
      <c r="I1826" s="12">
        <v>0</v>
      </c>
      <c r="J1826" s="12">
        <v>0</v>
      </c>
      <c r="K1826" s="13" t="str">
        <f>HYPERLINK("http://twitter.com/download/android","Twitter for Android")</f>
        <v>Twitter for Android</v>
      </c>
      <c r="L1826" s="12">
        <v>35</v>
      </c>
      <c r="M1826" s="12">
        <v>82</v>
      </c>
      <c r="N1826" s="12">
        <v>0</v>
      </c>
      <c r="O1826" s="14"/>
      <c r="P1826" s="6">
        <v>41183.542523148149</v>
      </c>
      <c r="Q1826" s="11"/>
      <c r="R1826" s="17" t="s">
        <v>6384</v>
      </c>
      <c r="S1826" s="11"/>
      <c r="T1826" s="11"/>
      <c r="U1826" s="10" t="str">
        <f>HYPERLINK("https://pbs.twimg.com/profile_images/2669151646/5febf4affc7d76195fbbd8a3b08035a1.jpeg","View")</f>
        <v>View</v>
      </c>
    </row>
    <row r="1827" spans="1:21" ht="51">
      <c r="A1827" s="6">
        <v>43439.416342592594</v>
      </c>
      <c r="B1827" s="7" t="str">
        <f>HYPERLINK("https://twitter.com/Ixone_SH","@Ixone_SH")</f>
        <v>@Ixone_SH</v>
      </c>
      <c r="C1827" s="8" t="s">
        <v>6298</v>
      </c>
      <c r="D1827" s="9" t="s">
        <v>6385</v>
      </c>
      <c r="E1827" s="10" t="str">
        <f>HYPERLINK("https://twitter.com/Ixone_SH/status/1070241249825828865","1070241249825828865")</f>
        <v>1070241249825828865</v>
      </c>
      <c r="F1827" s="11"/>
      <c r="G1827" s="11"/>
      <c r="H1827" s="11"/>
      <c r="I1827" s="12">
        <v>0</v>
      </c>
      <c r="J1827" s="12">
        <v>1</v>
      </c>
      <c r="K1827" s="13" t="str">
        <f>HYPERLINK("http://twitter.com/download/iphone","Twitter for iPhone")</f>
        <v>Twitter for iPhone</v>
      </c>
      <c r="L1827" s="12">
        <v>1644</v>
      </c>
      <c r="M1827" s="12">
        <v>1619</v>
      </c>
      <c r="N1827" s="12">
        <v>58</v>
      </c>
      <c r="O1827" s="14"/>
      <c r="P1827" s="6">
        <v>40303.579594907409</v>
      </c>
      <c r="Q1827" s="15" t="s">
        <v>6300</v>
      </c>
      <c r="R1827" s="17" t="s">
        <v>6301</v>
      </c>
      <c r="S1827" s="11"/>
      <c r="T1827" s="11"/>
      <c r="U1827" s="10" t="str">
        <f>HYPERLINK("https://pbs.twimg.com/profile_images/805796380753199105/svaJgXgK.jpg","View")</f>
        <v>View</v>
      </c>
    </row>
    <row r="1828" spans="1:21" ht="30.6">
      <c r="A1828" s="6">
        <v>43439.416331018518</v>
      </c>
      <c r="B1828" s="7" t="str">
        <f>HYPERLINK("https://twitter.com/MARIAPerezFern","@MARIAPerezFern")</f>
        <v>@MARIAPerezFern</v>
      </c>
      <c r="C1828" s="8" t="s">
        <v>6238</v>
      </c>
      <c r="D1828" s="9" t="s">
        <v>6386</v>
      </c>
      <c r="E1828" s="10" t="str">
        <f>HYPERLINK("https://twitter.com/MARIAPerezFern/status/1070241244608110592","1070241244608110592")</f>
        <v>1070241244608110592</v>
      </c>
      <c r="F1828" s="11"/>
      <c r="G1828" s="11"/>
      <c r="H1828" s="11"/>
      <c r="I1828" s="12">
        <v>0</v>
      </c>
      <c r="J1828" s="12">
        <v>0</v>
      </c>
      <c r="K1828" s="13" t="str">
        <f t="shared" ref="K1828:K1829" si="408">HYPERLINK("http://twitter.com/download/android","Twitter for Android")</f>
        <v>Twitter for Android</v>
      </c>
      <c r="L1828" s="12">
        <v>2192</v>
      </c>
      <c r="M1828" s="12">
        <v>2224</v>
      </c>
      <c r="N1828" s="12">
        <v>32</v>
      </c>
      <c r="O1828" s="14"/>
      <c r="P1828" s="6">
        <v>41458.632418981484</v>
      </c>
      <c r="Q1828" s="15" t="s">
        <v>5629</v>
      </c>
      <c r="R1828" s="17" t="s">
        <v>6240</v>
      </c>
      <c r="S1828" s="11"/>
      <c r="T1828" s="11"/>
      <c r="U1828" s="10" t="str">
        <f>HYPERLINK("https://pbs.twimg.com/profile_images/1062830273992318976/xCF0muOM.jpg","View")</f>
        <v>View</v>
      </c>
    </row>
    <row r="1829" spans="1:21" ht="30.6">
      <c r="A1829" s="6">
        <v>43439.416168981479</v>
      </c>
      <c r="B1829" s="7" t="str">
        <f>HYPERLINK("https://twitter.com/vialesyoel","@vialesyoel")</f>
        <v>@vialesyoel</v>
      </c>
      <c r="C1829" s="8" t="s">
        <v>6387</v>
      </c>
      <c r="D1829" s="9" t="s">
        <v>6388</v>
      </c>
      <c r="E1829" s="10" t="str">
        <f>HYPERLINK("https://twitter.com/vialesyoel/status/1070241186902888454","1070241186902888454")</f>
        <v>1070241186902888454</v>
      </c>
      <c r="F1829" s="11"/>
      <c r="G1829" s="11"/>
      <c r="H1829" s="11"/>
      <c r="I1829" s="12">
        <v>0</v>
      </c>
      <c r="J1829" s="12">
        <v>0</v>
      </c>
      <c r="K1829" s="13" t="str">
        <f t="shared" si="408"/>
        <v>Twitter for Android</v>
      </c>
      <c r="L1829" s="12">
        <v>384</v>
      </c>
      <c r="M1829" s="12">
        <v>1104</v>
      </c>
      <c r="N1829" s="12">
        <v>0</v>
      </c>
      <c r="O1829" s="14"/>
      <c r="P1829" s="6">
        <v>40562.684120370366</v>
      </c>
      <c r="Q1829" s="15" t="s">
        <v>4233</v>
      </c>
      <c r="R1829" s="17" t="s">
        <v>6389</v>
      </c>
      <c r="S1829" s="11"/>
      <c r="T1829" s="11"/>
      <c r="U1829" s="10" t="str">
        <f>HYPERLINK("https://pbs.twimg.com/profile_images/884078170265329665/ADHDnit-.jpg","View")</f>
        <v>View</v>
      </c>
    </row>
    <row r="1830" spans="1:21" ht="51">
      <c r="A1830" s="6">
        <v>43439.41578703704</v>
      </c>
      <c r="B1830" s="7" t="str">
        <f>HYPERLINK("https://twitter.com/pepeeltenso","@pepeeltenso")</f>
        <v>@pepeeltenso</v>
      </c>
      <c r="C1830" s="8" t="s">
        <v>6390</v>
      </c>
      <c r="D1830" s="9" t="s">
        <v>6391</v>
      </c>
      <c r="E1830" s="10" t="str">
        <f>HYPERLINK("https://twitter.com/pepeeltenso/status/1070241047245131776","1070241047245131776")</f>
        <v>1070241047245131776</v>
      </c>
      <c r="F1830" s="11"/>
      <c r="G1830" s="16" t="s">
        <v>6392</v>
      </c>
      <c r="H1830" s="11"/>
      <c r="I1830" s="12">
        <v>0</v>
      </c>
      <c r="J1830" s="12">
        <v>0</v>
      </c>
      <c r="K1830" s="13" t="str">
        <f>HYPERLINK("http://twitter.com","Twitter Web Client")</f>
        <v>Twitter Web Client</v>
      </c>
      <c r="L1830" s="12">
        <v>779</v>
      </c>
      <c r="M1830" s="12">
        <v>55</v>
      </c>
      <c r="N1830" s="12">
        <v>33</v>
      </c>
      <c r="O1830" s="14"/>
      <c r="P1830" s="6">
        <v>41371.868206018517</v>
      </c>
      <c r="Q1830" s="15" t="s">
        <v>6393</v>
      </c>
      <c r="R1830" s="17" t="s">
        <v>6394</v>
      </c>
      <c r="S1830" s="11"/>
      <c r="T1830" s="11"/>
      <c r="U1830" s="10" t="str">
        <f>HYPERLINK("https://pbs.twimg.com/profile_images/950887095761063936/9vcWJii3.jpg","View")</f>
        <v>View</v>
      </c>
    </row>
    <row r="1831" spans="1:21" ht="30.6">
      <c r="A1831" s="6">
        <v>43439.415648148148</v>
      </c>
      <c r="B1831" s="7" t="str">
        <f>HYPERLINK("https://twitter.com/crisadri221","@crisadri221")</f>
        <v>@crisadri221</v>
      </c>
      <c r="C1831" s="8" t="s">
        <v>6395</v>
      </c>
      <c r="D1831" s="9" t="s">
        <v>6396</v>
      </c>
      <c r="E1831" s="10" t="str">
        <f>HYPERLINK("https://twitter.com/crisadri221/status/1070240995596480512","1070240995596480512")</f>
        <v>1070240995596480512</v>
      </c>
      <c r="F1831" s="11"/>
      <c r="G1831" s="11"/>
      <c r="H1831" s="11"/>
      <c r="I1831" s="12">
        <v>0</v>
      </c>
      <c r="J1831" s="12">
        <v>1</v>
      </c>
      <c r="K1831" s="13" t="str">
        <f t="shared" ref="K1831:K1834" si="409">HYPERLINK("http://twitter.com/download/iphone","Twitter for iPhone")</f>
        <v>Twitter for iPhone</v>
      </c>
      <c r="L1831" s="12">
        <v>204</v>
      </c>
      <c r="M1831" s="12">
        <v>253</v>
      </c>
      <c r="N1831" s="12">
        <v>5</v>
      </c>
      <c r="O1831" s="14"/>
      <c r="P1831" s="6">
        <v>41910.956087962964</v>
      </c>
      <c r="Q1831" s="15" t="s">
        <v>6397</v>
      </c>
      <c r="R1831" s="17" t="s">
        <v>6398</v>
      </c>
      <c r="S1831" s="16" t="s">
        <v>6399</v>
      </c>
      <c r="T1831" s="11"/>
      <c r="U1831" s="10" t="str">
        <f>HYPERLINK("https://pbs.twimg.com/profile_images/907006252257087488/sHkOf9RW.jpg","View")</f>
        <v>View</v>
      </c>
    </row>
    <row r="1832" spans="1:21" ht="20.399999999999999">
      <c r="A1832" s="6">
        <v>43439.41541666667</v>
      </c>
      <c r="B1832" s="7" t="str">
        <f>HYPERLINK("https://twitter.com/2grober","@2grober")</f>
        <v>@2grober</v>
      </c>
      <c r="C1832" s="8" t="s">
        <v>62</v>
      </c>
      <c r="D1832" s="9" t="s">
        <v>6400</v>
      </c>
      <c r="E1832" s="10" t="str">
        <f>HYPERLINK("https://twitter.com/2grober/status/1070240914965192704","1070240914965192704")</f>
        <v>1070240914965192704</v>
      </c>
      <c r="F1832" s="11"/>
      <c r="G1832" s="11"/>
      <c r="H1832" s="11"/>
      <c r="I1832" s="12">
        <v>0</v>
      </c>
      <c r="J1832" s="12">
        <v>1</v>
      </c>
      <c r="K1832" s="13" t="str">
        <f t="shared" si="409"/>
        <v>Twitter for iPhone</v>
      </c>
      <c r="L1832" s="12">
        <v>159</v>
      </c>
      <c r="M1832" s="12">
        <v>238</v>
      </c>
      <c r="N1832" s="12">
        <v>0</v>
      </c>
      <c r="O1832" s="14"/>
      <c r="P1832" s="6">
        <v>41350.999374999999</v>
      </c>
      <c r="Q1832" s="11"/>
      <c r="R1832" s="18"/>
      <c r="S1832" s="11"/>
      <c r="T1832" s="11"/>
      <c r="U1832" s="10" t="str">
        <f>HYPERLINK("https://pbs.twimg.com/profile_images/3394025870/e36b9c8cbe2c6ba529c3af1af2424de2.jpeg","View")</f>
        <v>View</v>
      </c>
    </row>
    <row r="1833" spans="1:21" ht="61.2">
      <c r="A1833" s="6">
        <v>43439.415023148147</v>
      </c>
      <c r="B1833" s="7" t="str">
        <f>HYPERLINK("https://twitter.com/sarrio13","@sarrio13")</f>
        <v>@sarrio13</v>
      </c>
      <c r="C1833" s="8" t="s">
        <v>6401</v>
      </c>
      <c r="D1833" s="9" t="s">
        <v>6402</v>
      </c>
      <c r="E1833" s="10" t="str">
        <f>HYPERLINK("https://twitter.com/sarrio13/status/1070240770605678598","1070240770605678598")</f>
        <v>1070240770605678598</v>
      </c>
      <c r="F1833" s="11"/>
      <c r="G1833" s="11"/>
      <c r="H1833" s="11"/>
      <c r="I1833" s="12">
        <v>2</v>
      </c>
      <c r="J1833" s="12">
        <v>4</v>
      </c>
      <c r="K1833" s="13" t="str">
        <f t="shared" si="409"/>
        <v>Twitter for iPhone</v>
      </c>
      <c r="L1833" s="12">
        <v>321</v>
      </c>
      <c r="M1833" s="12">
        <v>468</v>
      </c>
      <c r="N1833" s="12">
        <v>2</v>
      </c>
      <c r="O1833" s="14"/>
      <c r="P1833" s="6">
        <v>41422.809942129628</v>
      </c>
      <c r="Q1833" s="11"/>
      <c r="R1833" s="17" t="s">
        <v>6403</v>
      </c>
      <c r="S1833" s="16" t="s">
        <v>6404</v>
      </c>
      <c r="T1833" s="11"/>
      <c r="U1833" s="10" t="str">
        <f>HYPERLINK("https://pbs.twimg.com/profile_images/1064056420092571648/aJgAkH7Q.jpg","View")</f>
        <v>View</v>
      </c>
    </row>
    <row r="1834" spans="1:21" ht="51">
      <c r="A1834" s="6">
        <v>43439.414884259255</v>
      </c>
      <c r="B1834" s="7" t="str">
        <f>HYPERLINK("https://twitter.com/OdJordi","@OdJordi")</f>
        <v>@OdJordi</v>
      </c>
      <c r="C1834" s="8" t="s">
        <v>5395</v>
      </c>
      <c r="D1834" s="9" t="s">
        <v>6405</v>
      </c>
      <c r="E1834" s="10" t="str">
        <f>HYPERLINK("https://twitter.com/OdJordi/status/1070240720005619713","1070240720005619713")</f>
        <v>1070240720005619713</v>
      </c>
      <c r="F1834" s="11"/>
      <c r="G1834" s="11"/>
      <c r="H1834" s="11"/>
      <c r="I1834" s="12">
        <v>0</v>
      </c>
      <c r="J1834" s="12">
        <v>0</v>
      </c>
      <c r="K1834" s="13" t="str">
        <f t="shared" si="409"/>
        <v>Twitter for iPhone</v>
      </c>
      <c r="L1834" s="12">
        <v>137</v>
      </c>
      <c r="M1834" s="12">
        <v>349</v>
      </c>
      <c r="N1834" s="12">
        <v>1</v>
      </c>
      <c r="O1834" s="14"/>
      <c r="P1834" s="6">
        <v>43364.784398148149</v>
      </c>
      <c r="Q1834" s="15" t="s">
        <v>5398</v>
      </c>
      <c r="R1834" s="17" t="s">
        <v>5399</v>
      </c>
      <c r="S1834" s="11"/>
      <c r="T1834" s="11"/>
      <c r="U1834" s="10" t="str">
        <f>HYPERLINK("https://pbs.twimg.com/profile_images/1051850895523278848/MJfJWY0y.jpg","View")</f>
        <v>View</v>
      </c>
    </row>
    <row r="1835" spans="1:21" ht="40.799999999999997">
      <c r="A1835" s="6">
        <v>43439.414837962962</v>
      </c>
      <c r="B1835" s="7" t="str">
        <f>HYPERLINK("https://twitter.com/silvia0907","@silvia0907")</f>
        <v>@silvia0907</v>
      </c>
      <c r="C1835" s="8" t="s">
        <v>4541</v>
      </c>
      <c r="D1835" s="9" t="s">
        <v>6406</v>
      </c>
      <c r="E1835" s="10" t="str">
        <f>HYPERLINK("https://twitter.com/silvia0907/status/1070240701647069184","1070240701647069184")</f>
        <v>1070240701647069184</v>
      </c>
      <c r="F1835" s="11"/>
      <c r="G1835" s="11"/>
      <c r="H1835" s="11"/>
      <c r="I1835" s="12">
        <v>9</v>
      </c>
      <c r="J1835" s="12">
        <v>22</v>
      </c>
      <c r="K1835" s="13" t="str">
        <f>HYPERLINK("http://twitter.com/download/android","Twitter for Android")</f>
        <v>Twitter for Android</v>
      </c>
      <c r="L1835" s="12">
        <v>3671</v>
      </c>
      <c r="M1835" s="12">
        <v>63</v>
      </c>
      <c r="N1835" s="12">
        <v>53</v>
      </c>
      <c r="O1835" s="14"/>
      <c r="P1835" s="6">
        <v>41394.656006944446</v>
      </c>
      <c r="Q1835" s="15" t="s">
        <v>612</v>
      </c>
      <c r="R1835" s="17" t="s">
        <v>4544</v>
      </c>
      <c r="S1835" s="11"/>
      <c r="T1835" s="11"/>
      <c r="U1835" s="10" t="str">
        <f>HYPERLINK("https://pbs.twimg.com/profile_images/967044247273791489/I3V7XbPG.jpg","View")</f>
        <v>View</v>
      </c>
    </row>
    <row r="1836" spans="1:21" ht="40.799999999999997">
      <c r="A1836" s="6">
        <v>43439.414247685185</v>
      </c>
      <c r="B1836" s="7" t="str">
        <f>HYPERLINK("https://twitter.com/pirriqui2011","@pirriqui2011")</f>
        <v>@pirriqui2011</v>
      </c>
      <c r="C1836" s="8" t="s">
        <v>6407</v>
      </c>
      <c r="D1836" s="9" t="s">
        <v>6408</v>
      </c>
      <c r="E1836" s="10" t="str">
        <f>HYPERLINK("https://twitter.com/pirriqui2011/status/1070240488014385152","1070240488014385152")</f>
        <v>1070240488014385152</v>
      </c>
      <c r="F1836" s="11"/>
      <c r="G1836" s="11"/>
      <c r="H1836" s="11"/>
      <c r="I1836" s="12">
        <v>1</v>
      </c>
      <c r="J1836" s="12">
        <v>1</v>
      </c>
      <c r="K1836" s="13" t="str">
        <f t="shared" ref="K1836:K1838" si="410">HYPERLINK("http://twitter.com","Twitter Web Client")</f>
        <v>Twitter Web Client</v>
      </c>
      <c r="L1836" s="12">
        <v>1396</v>
      </c>
      <c r="M1836" s="12">
        <v>1931</v>
      </c>
      <c r="N1836" s="12">
        <v>47</v>
      </c>
      <c r="O1836" s="14"/>
      <c r="P1836" s="6">
        <v>40557.247719907406</v>
      </c>
      <c r="Q1836" s="15" t="s">
        <v>6409</v>
      </c>
      <c r="R1836" s="17" t="s">
        <v>6410</v>
      </c>
      <c r="S1836" s="11"/>
      <c r="T1836" s="11"/>
      <c r="U1836" s="10" t="str">
        <f>HYPERLINK("https://pbs.twimg.com/profile_images/997560262361264128/WkBP4mRm.jpg","View")</f>
        <v>View</v>
      </c>
    </row>
    <row r="1837" spans="1:21" ht="61.2">
      <c r="A1837" s="6">
        <v>43439.414120370369</v>
      </c>
      <c r="B1837" s="7" t="str">
        <f>HYPERLINK("https://twitter.com/cdpache","@cdpache")</f>
        <v>@cdpache</v>
      </c>
      <c r="C1837" s="8" t="s">
        <v>6411</v>
      </c>
      <c r="D1837" s="9" t="s">
        <v>6412</v>
      </c>
      <c r="E1837" s="10" t="str">
        <f>HYPERLINK("https://twitter.com/cdpache/status/1070240442728370177","1070240442728370177")</f>
        <v>1070240442728370177</v>
      </c>
      <c r="F1837" s="11"/>
      <c r="G1837" s="16" t="s">
        <v>6413</v>
      </c>
      <c r="H1837" s="11"/>
      <c r="I1837" s="12">
        <v>0</v>
      </c>
      <c r="J1837" s="12">
        <v>1</v>
      </c>
      <c r="K1837" s="13" t="str">
        <f t="shared" si="410"/>
        <v>Twitter Web Client</v>
      </c>
      <c r="L1837" s="12">
        <v>2111</v>
      </c>
      <c r="M1837" s="12">
        <v>1708</v>
      </c>
      <c r="N1837" s="12">
        <v>62</v>
      </c>
      <c r="O1837" s="23" t="s">
        <v>89</v>
      </c>
      <c r="P1837" s="6">
        <v>39412.774178240739</v>
      </c>
      <c r="Q1837" s="15" t="s">
        <v>612</v>
      </c>
      <c r="R1837" s="17" t="s">
        <v>6414</v>
      </c>
      <c r="S1837" s="16" t="s">
        <v>6415</v>
      </c>
      <c r="T1837" s="11"/>
      <c r="U1837" s="10" t="str">
        <f>HYPERLINK("https://pbs.twimg.com/profile_images/983665202930601985/j5kBRq2X.jpg","View")</f>
        <v>View</v>
      </c>
    </row>
    <row r="1838" spans="1:21" ht="40.799999999999997">
      <c r="A1838" s="6">
        <v>43439.41375</v>
      </c>
      <c r="B1838" s="7" t="str">
        <f>HYPERLINK("https://twitter.com/CarolMcCoglan","@CarolMcCoglan")</f>
        <v>@CarolMcCoglan</v>
      </c>
      <c r="C1838" s="8" t="s">
        <v>6416</v>
      </c>
      <c r="D1838" s="9" t="s">
        <v>6417</v>
      </c>
      <c r="E1838" s="10" t="str">
        <f>HYPERLINK("https://twitter.com/CarolMcCoglan/status/1070240307973906432","1070240307973906432")</f>
        <v>1070240307973906432</v>
      </c>
      <c r="F1838" s="11"/>
      <c r="G1838" s="11"/>
      <c r="H1838" s="11"/>
      <c r="I1838" s="12">
        <v>2</v>
      </c>
      <c r="J1838" s="12">
        <v>3</v>
      </c>
      <c r="K1838" s="13" t="str">
        <f t="shared" si="410"/>
        <v>Twitter Web Client</v>
      </c>
      <c r="L1838" s="12">
        <v>3001</v>
      </c>
      <c r="M1838" s="12">
        <v>4798</v>
      </c>
      <c r="N1838" s="12">
        <v>33</v>
      </c>
      <c r="O1838" s="14"/>
      <c r="P1838" s="6">
        <v>41882.611875000002</v>
      </c>
      <c r="Q1838" s="15" t="s">
        <v>4167</v>
      </c>
      <c r="R1838" s="17" t="s">
        <v>6418</v>
      </c>
      <c r="S1838" s="11"/>
      <c r="T1838" s="11"/>
      <c r="U1838" s="10" t="str">
        <f>HYPERLINK("https://pbs.twimg.com/profile_images/1070085875353161730/M_JgCvRz.jpg","View")</f>
        <v>View</v>
      </c>
    </row>
    <row r="1839" spans="1:21" ht="30.6">
      <c r="A1839" s="6">
        <v>43439.413738425923</v>
      </c>
      <c r="B1839" s="7" t="str">
        <f>HYPERLINK("https://twitter.com/_irenemb96","@_irenemb96")</f>
        <v>@_irenemb96</v>
      </c>
      <c r="C1839" s="27" t="s">
        <v>6288</v>
      </c>
      <c r="D1839" s="9" t="s">
        <v>6419</v>
      </c>
      <c r="E1839" s="10" t="str">
        <f>HYPERLINK("https://twitter.com/_irenemb96/status/1070240305037873152","1070240305037873152")</f>
        <v>1070240305037873152</v>
      </c>
      <c r="F1839" s="11"/>
      <c r="G1839" s="11"/>
      <c r="H1839" s="11"/>
      <c r="I1839" s="12">
        <v>0</v>
      </c>
      <c r="J1839" s="12">
        <v>0</v>
      </c>
      <c r="K1839" s="13" t="str">
        <f t="shared" ref="K1839:K1841" si="411">HYPERLINK("http://twitter.com/download/android","Twitter for Android")</f>
        <v>Twitter for Android</v>
      </c>
      <c r="L1839" s="12">
        <v>2882</v>
      </c>
      <c r="M1839" s="12">
        <v>1841</v>
      </c>
      <c r="N1839" s="12">
        <v>47</v>
      </c>
      <c r="O1839" s="14"/>
      <c r="P1839" s="6">
        <v>40656.010057870371</v>
      </c>
      <c r="Q1839" s="15" t="s">
        <v>1048</v>
      </c>
      <c r="R1839" s="17" t="s">
        <v>6290</v>
      </c>
      <c r="S1839" s="11"/>
      <c r="T1839" s="11"/>
      <c r="U1839" s="10" t="str">
        <f>HYPERLINK("https://pbs.twimg.com/profile_images/1060673998974083072/h00jtUBQ.jpg","View")</f>
        <v>View</v>
      </c>
    </row>
    <row r="1840" spans="1:21" ht="30.6">
      <c r="A1840" s="6">
        <v>43439.413449074069</v>
      </c>
      <c r="B1840" s="7" t="str">
        <f>HYPERLINK("https://twitter.com/MARIAPerezFern","@MARIAPerezFern")</f>
        <v>@MARIAPerezFern</v>
      </c>
      <c r="C1840" s="8" t="s">
        <v>6238</v>
      </c>
      <c r="D1840" s="9" t="s">
        <v>6420</v>
      </c>
      <c r="E1840" s="10" t="str">
        <f>HYPERLINK("https://twitter.com/MARIAPerezFern/status/1070240200452960256","1070240200452960256")</f>
        <v>1070240200452960256</v>
      </c>
      <c r="F1840" s="11"/>
      <c r="G1840" s="11"/>
      <c r="H1840" s="11"/>
      <c r="I1840" s="12">
        <v>1</v>
      </c>
      <c r="J1840" s="12">
        <v>1</v>
      </c>
      <c r="K1840" s="13" t="str">
        <f t="shared" si="411"/>
        <v>Twitter for Android</v>
      </c>
      <c r="L1840" s="12">
        <v>2192</v>
      </c>
      <c r="M1840" s="12">
        <v>2224</v>
      </c>
      <c r="N1840" s="12">
        <v>32</v>
      </c>
      <c r="O1840" s="14"/>
      <c r="P1840" s="6">
        <v>41458.632418981484</v>
      </c>
      <c r="Q1840" s="15" t="s">
        <v>5629</v>
      </c>
      <c r="R1840" s="17" t="s">
        <v>6240</v>
      </c>
      <c r="S1840" s="11"/>
      <c r="T1840" s="11"/>
      <c r="U1840" s="10" t="str">
        <f>HYPERLINK("https://pbs.twimg.com/profile_images/1062830273992318976/xCF0muOM.jpg","View")</f>
        <v>View</v>
      </c>
    </row>
    <row r="1841" spans="1:21" ht="51">
      <c r="A1841" s="6">
        <v>43439.413252314815</v>
      </c>
      <c r="B1841" s="7" t="str">
        <f>HYPERLINK("https://twitter.com/Juanerpf","@Juanerpf")</f>
        <v>@Juanerpf</v>
      </c>
      <c r="C1841" s="8" t="s">
        <v>6421</v>
      </c>
      <c r="D1841" s="9" t="s">
        <v>6422</v>
      </c>
      <c r="E1841" s="10" t="str">
        <f>HYPERLINK("https://twitter.com/Juanerpf/status/1070240129187540992","1070240129187540992")</f>
        <v>1070240129187540992</v>
      </c>
      <c r="F1841" s="11"/>
      <c r="G1841" s="16" t="s">
        <v>6423</v>
      </c>
      <c r="H1841" s="11"/>
      <c r="I1841" s="12">
        <v>6</v>
      </c>
      <c r="J1841" s="12">
        <v>8</v>
      </c>
      <c r="K1841" s="13" t="str">
        <f t="shared" si="411"/>
        <v>Twitter for Android</v>
      </c>
      <c r="L1841" s="12">
        <v>6805</v>
      </c>
      <c r="M1841" s="12">
        <v>878</v>
      </c>
      <c r="N1841" s="12">
        <v>306</v>
      </c>
      <c r="O1841" s="14"/>
      <c r="P1841" s="6">
        <v>40980.873715277776</v>
      </c>
      <c r="Q1841" s="15" t="s">
        <v>4486</v>
      </c>
      <c r="R1841" s="17" t="s">
        <v>6424</v>
      </c>
      <c r="S1841" s="16" t="s">
        <v>6425</v>
      </c>
      <c r="T1841" s="11"/>
      <c r="U1841" s="10" t="str">
        <f>HYPERLINK("https://pbs.twimg.com/profile_images/537274998272954368/lLSuaKwi.jpeg","View")</f>
        <v>View</v>
      </c>
    </row>
    <row r="1842" spans="1:21" ht="51">
      <c r="A1842" s="6">
        <v>43439.412754629629</v>
      </c>
      <c r="B1842" s="7" t="str">
        <f>HYPERLINK("https://twitter.com/DavidAcostaArrs","@DavidAcostaArrs")</f>
        <v>@DavidAcostaArrs</v>
      </c>
      <c r="C1842" s="8" t="s">
        <v>6426</v>
      </c>
      <c r="D1842" s="9" t="s">
        <v>6427</v>
      </c>
      <c r="E1842" s="10" t="str">
        <f>HYPERLINK("https://twitter.com/DavidAcostaArrs/status/1070239947980984326","1070239947980984326")</f>
        <v>1070239947980984326</v>
      </c>
      <c r="F1842" s="11"/>
      <c r="G1842" s="16" t="s">
        <v>6428</v>
      </c>
      <c r="H1842" s="11"/>
      <c r="I1842" s="12">
        <v>0</v>
      </c>
      <c r="J1842" s="12">
        <v>0</v>
      </c>
      <c r="K1842" s="13" t="str">
        <f>HYPERLINK("http://twitter.com","Twitter Web Client")</f>
        <v>Twitter Web Client</v>
      </c>
      <c r="L1842" s="12">
        <v>337</v>
      </c>
      <c r="M1842" s="12">
        <v>861</v>
      </c>
      <c r="N1842" s="12">
        <v>3</v>
      </c>
      <c r="O1842" s="14"/>
      <c r="P1842" s="6">
        <v>40576.95888888889</v>
      </c>
      <c r="Q1842" s="15" t="s">
        <v>6429</v>
      </c>
      <c r="R1842" s="17" t="s">
        <v>6430</v>
      </c>
      <c r="S1842" s="11"/>
      <c r="T1842" s="11"/>
      <c r="U1842" s="10" t="str">
        <f>HYPERLINK("https://pbs.twimg.com/profile_images/466248213193064449/c7dLkpVJ.jpeg","View")</f>
        <v>View</v>
      </c>
    </row>
    <row r="1843" spans="1:21" ht="30.6">
      <c r="A1843" s="6">
        <v>43439.412569444445</v>
      </c>
      <c r="B1843" s="7" t="str">
        <f>HYPERLINK("https://twitter.com/AndreaSwertz1","@AndreaSwertz1")</f>
        <v>@AndreaSwertz1</v>
      </c>
      <c r="C1843" s="8" t="s">
        <v>5676</v>
      </c>
      <c r="D1843" s="9" t="s">
        <v>6431</v>
      </c>
      <c r="E1843" s="10" t="str">
        <f>HYPERLINK("https://twitter.com/AndreaSwertz1/status/1070239880230420480","1070239880230420480")</f>
        <v>1070239880230420480</v>
      </c>
      <c r="F1843" s="16" t="s">
        <v>6432</v>
      </c>
      <c r="G1843" s="11"/>
      <c r="H1843" s="11"/>
      <c r="I1843" s="12">
        <v>0</v>
      </c>
      <c r="J1843" s="12">
        <v>3</v>
      </c>
      <c r="K1843" s="13" t="str">
        <f>HYPERLINK("http://twitter.com/download/iphone","Twitter for iPhone")</f>
        <v>Twitter for iPhone</v>
      </c>
      <c r="L1843" s="12">
        <v>17</v>
      </c>
      <c r="M1843" s="12">
        <v>57</v>
      </c>
      <c r="N1843" s="12">
        <v>0</v>
      </c>
      <c r="O1843" s="14"/>
      <c r="P1843" s="6">
        <v>43104.423483796301</v>
      </c>
      <c r="Q1843" s="15" t="s">
        <v>5678</v>
      </c>
      <c r="R1843" s="17" t="s">
        <v>5679</v>
      </c>
      <c r="S1843" s="11"/>
      <c r="T1843" s="11"/>
      <c r="U1843" s="10" t="str">
        <f>HYPERLINK("https://pbs.twimg.com/profile_images/1031439817450631168/rFsKjRsM.jpg","View")</f>
        <v>View</v>
      </c>
    </row>
    <row r="1844" spans="1:21" ht="51">
      <c r="A1844" s="6">
        <v>43439.412453703699</v>
      </c>
      <c r="B1844" s="7" t="str">
        <f>HYPERLINK("https://twitter.com/SedeMafia","@SedeMafia")</f>
        <v>@SedeMafia</v>
      </c>
      <c r="C1844" s="8" t="s">
        <v>6433</v>
      </c>
      <c r="D1844" s="9" t="s">
        <v>6434</v>
      </c>
      <c r="E1844" s="10" t="str">
        <f>HYPERLINK("https://twitter.com/SedeMafia/status/1070239839503745024","1070239839503745024")</f>
        <v>1070239839503745024</v>
      </c>
      <c r="F1844" s="11"/>
      <c r="G1844" s="11"/>
      <c r="H1844" s="11"/>
      <c r="I1844" s="12">
        <v>2</v>
      </c>
      <c r="J1844" s="12">
        <v>4</v>
      </c>
      <c r="K1844" s="13" t="str">
        <f t="shared" ref="K1844:K1848" si="412">HYPERLINK("http://twitter.com/download/android","Twitter for Android")</f>
        <v>Twitter for Android</v>
      </c>
      <c r="L1844" s="12">
        <v>1504</v>
      </c>
      <c r="M1844" s="12">
        <v>5001</v>
      </c>
      <c r="N1844" s="12">
        <v>3</v>
      </c>
      <c r="O1844" s="14"/>
      <c r="P1844" s="6">
        <v>43078.420937499999</v>
      </c>
      <c r="Q1844" s="11"/>
      <c r="R1844" s="17" t="s">
        <v>6435</v>
      </c>
      <c r="S1844" s="11"/>
      <c r="T1844" s="11"/>
      <c r="U1844" s="10" t="str">
        <f>HYPERLINK("https://pbs.twimg.com/profile_images/942870387335073792/1AtV7RUf.jpg","View")</f>
        <v>View</v>
      </c>
    </row>
    <row r="1845" spans="1:21" ht="30.6">
      <c r="A1845" s="6">
        <v>43439.41233796296</v>
      </c>
      <c r="B1845" s="7" t="str">
        <f>HYPERLINK("https://twitter.com/DeHerblay","@DeHerblay")</f>
        <v>@DeHerblay</v>
      </c>
      <c r="C1845" s="8" t="s">
        <v>6436</v>
      </c>
      <c r="D1845" s="9" t="s">
        <v>6437</v>
      </c>
      <c r="E1845" s="10" t="str">
        <f>HYPERLINK("https://twitter.com/DeHerblay/status/1070239797715845120","1070239797715845120")</f>
        <v>1070239797715845120</v>
      </c>
      <c r="F1845" s="11"/>
      <c r="G1845" s="11"/>
      <c r="H1845" s="11"/>
      <c r="I1845" s="12">
        <v>1</v>
      </c>
      <c r="J1845" s="12">
        <v>0</v>
      </c>
      <c r="K1845" s="13" t="str">
        <f t="shared" si="412"/>
        <v>Twitter for Android</v>
      </c>
      <c r="L1845" s="12">
        <v>3</v>
      </c>
      <c r="M1845" s="12">
        <v>15</v>
      </c>
      <c r="N1845" s="12">
        <v>0</v>
      </c>
      <c r="O1845" s="14"/>
      <c r="P1845" s="6">
        <v>42397.362013888887</v>
      </c>
      <c r="Q1845" s="11"/>
      <c r="R1845" s="17" t="s">
        <v>6438</v>
      </c>
      <c r="S1845" s="11"/>
      <c r="T1845" s="11"/>
      <c r="U1845" s="10" t="str">
        <f>HYPERLINK("https://pbs.twimg.com/profile_images/692614899814547456/LlPnkNGC.jpg","View")</f>
        <v>View</v>
      </c>
    </row>
    <row r="1846" spans="1:21" ht="51">
      <c r="A1846" s="6">
        <v>43439.412280092598</v>
      </c>
      <c r="B1846" s="7" t="str">
        <f>HYPERLINK("https://twitter.com/PerdigueroSIPEp","@PerdigueroSIPEp")</f>
        <v>@PerdigueroSIPEp</v>
      </c>
      <c r="C1846" s="8" t="s">
        <v>2917</v>
      </c>
      <c r="D1846" s="9" t="s">
        <v>6439</v>
      </c>
      <c r="E1846" s="10" t="str">
        <f>HYPERLINK("https://twitter.com/PerdigueroSIPEp/status/1070239774903025664","1070239774903025664")</f>
        <v>1070239774903025664</v>
      </c>
      <c r="F1846" s="11"/>
      <c r="G1846" s="11"/>
      <c r="H1846" s="11"/>
      <c r="I1846" s="12">
        <v>1870</v>
      </c>
      <c r="J1846" s="12">
        <v>3278</v>
      </c>
      <c r="K1846" s="13" t="str">
        <f t="shared" si="412"/>
        <v>Twitter for Android</v>
      </c>
      <c r="L1846" s="12">
        <v>21022</v>
      </c>
      <c r="M1846" s="12">
        <v>719</v>
      </c>
      <c r="N1846" s="12">
        <v>123</v>
      </c>
      <c r="O1846" s="14"/>
      <c r="P1846" s="6">
        <v>42737.827673611115</v>
      </c>
      <c r="Q1846" s="15" t="s">
        <v>185</v>
      </c>
      <c r="R1846" s="17" t="s">
        <v>2919</v>
      </c>
      <c r="S1846" s="16" t="s">
        <v>2920</v>
      </c>
      <c r="T1846" s="11"/>
      <c r="U1846" s="10" t="str">
        <f>HYPERLINK("https://pbs.twimg.com/profile_images/818534525043179521/qGjb-bg-.jpg","View")</f>
        <v>View</v>
      </c>
    </row>
    <row r="1847" spans="1:21" ht="30.6">
      <c r="A1847" s="6">
        <v>43439.412048611106</v>
      </c>
      <c r="B1847" s="7" t="str">
        <f>HYPERLINK("https://twitter.com/La_FeminaZi","@La_FeminaZi")</f>
        <v>@La_FeminaZi</v>
      </c>
      <c r="C1847" s="8" t="s">
        <v>6440</v>
      </c>
      <c r="D1847" s="9" t="s">
        <v>6441</v>
      </c>
      <c r="E1847" s="10" t="str">
        <f>HYPERLINK("https://twitter.com/La_FeminaZi/status/1070239694078795776","1070239694078795776")</f>
        <v>1070239694078795776</v>
      </c>
      <c r="F1847" s="11"/>
      <c r="G1847" s="11"/>
      <c r="H1847" s="11"/>
      <c r="I1847" s="12">
        <v>0</v>
      </c>
      <c r="J1847" s="12">
        <v>1</v>
      </c>
      <c r="K1847" s="13" t="str">
        <f t="shared" si="412"/>
        <v>Twitter for Android</v>
      </c>
      <c r="L1847" s="12">
        <v>204</v>
      </c>
      <c r="M1847" s="12">
        <v>417</v>
      </c>
      <c r="N1847" s="12">
        <v>0</v>
      </c>
      <c r="O1847" s="14"/>
      <c r="P1847" s="6">
        <v>41309.947615740741</v>
      </c>
      <c r="Q1847" s="15" t="s">
        <v>1048</v>
      </c>
      <c r="R1847" s="17" t="s">
        <v>6442</v>
      </c>
      <c r="S1847" s="11"/>
      <c r="T1847" s="11"/>
      <c r="U1847" s="10" t="str">
        <f>HYPERLINK("https://pbs.twimg.com/profile_images/1071045193808470017/jQMb58op.jpg","View")</f>
        <v>View</v>
      </c>
    </row>
    <row r="1848" spans="1:21" ht="40.799999999999997">
      <c r="A1848" s="6">
        <v>43439.412025462967</v>
      </c>
      <c r="B1848" s="7" t="str">
        <f>HYPERLINK("https://twitter.com/Angel9deJunio","@Angel9deJunio")</f>
        <v>@Angel9deJunio</v>
      </c>
      <c r="C1848" s="8" t="s">
        <v>6443</v>
      </c>
      <c r="D1848" s="9" t="s">
        <v>6444</v>
      </c>
      <c r="E1848" s="10" t="str">
        <f>HYPERLINK("https://twitter.com/Angel9deJunio/status/1070239685467873280","1070239685467873280")</f>
        <v>1070239685467873280</v>
      </c>
      <c r="F1848" s="11"/>
      <c r="G1848" s="16" t="s">
        <v>6445</v>
      </c>
      <c r="H1848" s="11"/>
      <c r="I1848" s="12">
        <v>2</v>
      </c>
      <c r="J1848" s="12">
        <v>1</v>
      </c>
      <c r="K1848" s="13" t="str">
        <f t="shared" si="412"/>
        <v>Twitter for Android</v>
      </c>
      <c r="L1848" s="12">
        <v>4527</v>
      </c>
      <c r="M1848" s="12">
        <v>3552</v>
      </c>
      <c r="N1848" s="12">
        <v>42</v>
      </c>
      <c r="O1848" s="14"/>
      <c r="P1848" s="6">
        <v>40755.753472222219</v>
      </c>
      <c r="Q1848" s="15" t="s">
        <v>1027</v>
      </c>
      <c r="R1848" s="17" t="s">
        <v>6446</v>
      </c>
      <c r="S1848" s="11"/>
      <c r="T1848" s="11"/>
      <c r="U1848" s="10" t="str">
        <f>HYPERLINK("https://pbs.twimg.com/profile_images/1039572954839965697/3J6i-Jq7.jpg","View")</f>
        <v>View</v>
      </c>
    </row>
    <row r="1849" spans="1:21" ht="30.6">
      <c r="A1849" s="6">
        <v>43439.411863425921</v>
      </c>
      <c r="B1849" s="7" t="str">
        <f>HYPERLINK("https://twitter.com/elEconomistaes","@elEconomistaes")</f>
        <v>@elEconomistaes</v>
      </c>
      <c r="C1849" s="24" t="s">
        <v>187</v>
      </c>
      <c r="D1849" s="9" t="s">
        <v>6291</v>
      </c>
      <c r="E1849" s="10" t="str">
        <f>HYPERLINK("https://twitter.com/elEconomistaes/status/1070239624654675968","1070239624654675968")</f>
        <v>1070239624654675968</v>
      </c>
      <c r="F1849" s="16" t="s">
        <v>189</v>
      </c>
      <c r="G1849" s="11"/>
      <c r="H1849" s="11"/>
      <c r="I1849" s="12">
        <v>34</v>
      </c>
      <c r="J1849" s="12">
        <v>38</v>
      </c>
      <c r="K1849" s="13" t="str">
        <f>HYPERLINK("http://twitter.com","Twitter Web Client")</f>
        <v>Twitter Web Client</v>
      </c>
      <c r="L1849" s="12">
        <v>656089</v>
      </c>
      <c r="M1849" s="12">
        <v>382</v>
      </c>
      <c r="N1849" s="12">
        <v>8764</v>
      </c>
      <c r="O1849" s="23" t="s">
        <v>89</v>
      </c>
      <c r="P1849" s="6">
        <v>40373.48164351852</v>
      </c>
      <c r="Q1849" s="11"/>
      <c r="R1849" s="17" t="s">
        <v>190</v>
      </c>
      <c r="S1849" s="16" t="s">
        <v>191</v>
      </c>
      <c r="T1849" s="11"/>
      <c r="U1849" s="10" t="str">
        <f>HYPERLINK("https://pbs.twimg.com/profile_images/899527230833012736/uMjGoE60.jpg","View")</f>
        <v>View</v>
      </c>
    </row>
    <row r="1850" spans="1:21" ht="20.399999999999999">
      <c r="A1850" s="6">
        <v>43439.411840277782</v>
      </c>
      <c r="B1850" s="7" t="str">
        <f>HYPERLINK("https://twitter.com/Thanya_Calderon","@Thanya_Calderon")</f>
        <v>@Thanya_Calderon</v>
      </c>
      <c r="C1850" s="8" t="s">
        <v>6447</v>
      </c>
      <c r="D1850" s="9" t="s">
        <v>6448</v>
      </c>
      <c r="E1850" s="10" t="str">
        <f>HYPERLINK("https://twitter.com/Thanya_Calderon/status/1070239618686205953","1070239618686205953")</f>
        <v>1070239618686205953</v>
      </c>
      <c r="F1850" s="11"/>
      <c r="G1850" s="11"/>
      <c r="H1850" s="11"/>
      <c r="I1850" s="12">
        <v>2</v>
      </c>
      <c r="J1850" s="12">
        <v>5</v>
      </c>
      <c r="K1850" s="13" t="str">
        <f>HYPERLINK("http://twitter.com/download/android","Twitter for Android")</f>
        <v>Twitter for Android</v>
      </c>
      <c r="L1850" s="12">
        <v>261</v>
      </c>
      <c r="M1850" s="12">
        <v>340</v>
      </c>
      <c r="N1850" s="12">
        <v>8</v>
      </c>
      <c r="O1850" s="14"/>
      <c r="P1850" s="6">
        <v>40765.571342592593</v>
      </c>
      <c r="Q1850" s="11"/>
      <c r="R1850" s="18"/>
      <c r="S1850" s="11"/>
      <c r="T1850" s="11"/>
      <c r="U1850" s="10" t="str">
        <f>HYPERLINK("https://pbs.twimg.com/profile_images/554939640671920128/A9wuQZ-i.jpeg","View")</f>
        <v>View</v>
      </c>
    </row>
    <row r="1851" spans="1:21" ht="51">
      <c r="A1851" s="6">
        <v>43439.411585648151</v>
      </c>
      <c r="B1851" s="7" t="str">
        <f>HYPERLINK("https://twitter.com/japi44","@japi44")</f>
        <v>@japi44</v>
      </c>
      <c r="C1851" s="8" t="s">
        <v>4987</v>
      </c>
      <c r="D1851" s="9" t="s">
        <v>6449</v>
      </c>
      <c r="E1851" s="10" t="str">
        <f>HYPERLINK("https://twitter.com/japi44/status/1070239525849444352","1070239525849444352")</f>
        <v>1070239525849444352</v>
      </c>
      <c r="F1851" s="11"/>
      <c r="G1851" s="11"/>
      <c r="H1851" s="11"/>
      <c r="I1851" s="12">
        <v>11</v>
      </c>
      <c r="J1851" s="12">
        <v>17</v>
      </c>
      <c r="K1851" s="13" t="str">
        <f t="shared" ref="K1851:K1852" si="413">HYPERLINK("http://twitter.com/download/iphone","Twitter for iPhone")</f>
        <v>Twitter for iPhone</v>
      </c>
      <c r="L1851" s="12">
        <v>60</v>
      </c>
      <c r="M1851" s="12">
        <v>103</v>
      </c>
      <c r="N1851" s="12">
        <v>1</v>
      </c>
      <c r="O1851" s="14"/>
      <c r="P1851" s="6">
        <v>40620.676435185189</v>
      </c>
      <c r="Q1851" s="11"/>
      <c r="R1851" s="17" t="s">
        <v>4989</v>
      </c>
      <c r="S1851" s="11"/>
      <c r="T1851" s="11"/>
      <c r="U1851" s="10" t="str">
        <f>HYPERLINK("https://pbs.twimg.com/profile_images/921811901247614977/4VfNiiPo.jpg","View")</f>
        <v>View</v>
      </c>
    </row>
    <row r="1852" spans="1:21" ht="40.799999999999997">
      <c r="A1852" s="6">
        <v>43439.411527777775</v>
      </c>
      <c r="B1852" s="7" t="str">
        <f>HYPERLINK("https://twitter.com/JuanMolinaPATER","@JuanMolinaPATER")</f>
        <v>@JuanMolinaPATER</v>
      </c>
      <c r="C1852" s="8" t="s">
        <v>6450</v>
      </c>
      <c r="D1852" s="9" t="s">
        <v>6451</v>
      </c>
      <c r="E1852" s="10" t="str">
        <f>HYPERLINK("https://twitter.com/JuanMolinaPATER/status/1070239502336184321","1070239502336184321")</f>
        <v>1070239502336184321</v>
      </c>
      <c r="F1852" s="11"/>
      <c r="G1852" s="16" t="s">
        <v>6452</v>
      </c>
      <c r="H1852" s="11"/>
      <c r="I1852" s="12">
        <v>0</v>
      </c>
      <c r="J1852" s="12">
        <v>1</v>
      </c>
      <c r="K1852" s="13" t="str">
        <f t="shared" si="413"/>
        <v>Twitter for iPhone</v>
      </c>
      <c r="L1852" s="12">
        <v>11200</v>
      </c>
      <c r="M1852" s="12">
        <v>1571</v>
      </c>
      <c r="N1852" s="12">
        <v>84</v>
      </c>
      <c r="O1852" s="14"/>
      <c r="P1852" s="6">
        <v>40731.422048611115</v>
      </c>
      <c r="Q1852" s="11"/>
      <c r="R1852" s="17" t="s">
        <v>6453</v>
      </c>
      <c r="S1852" s="11"/>
      <c r="T1852" s="11"/>
      <c r="U1852" s="10" t="str">
        <f>HYPERLINK("https://pbs.twimg.com/profile_images/972252490854010880/QS0iY7yG.jpg","View")</f>
        <v>View</v>
      </c>
    </row>
    <row r="1853" spans="1:21" ht="30.6">
      <c r="A1853" s="6">
        <v>43439.411261574074</v>
      </c>
      <c r="B1853" s="7" t="str">
        <f>HYPERLINK("https://twitter.com/thesuper83","@thesuper83")</f>
        <v>@thesuper83</v>
      </c>
      <c r="C1853" s="8" t="s">
        <v>6382</v>
      </c>
      <c r="D1853" s="9" t="s">
        <v>6454</v>
      </c>
      <c r="E1853" s="10" t="str">
        <f>HYPERLINK("https://twitter.com/thesuper83/status/1070239407272271872","1070239407272271872")</f>
        <v>1070239407272271872</v>
      </c>
      <c r="F1853" s="11"/>
      <c r="G1853" s="11"/>
      <c r="H1853" s="11"/>
      <c r="I1853" s="12">
        <v>0</v>
      </c>
      <c r="J1853" s="12">
        <v>0</v>
      </c>
      <c r="K1853" s="13" t="str">
        <f>HYPERLINK("http://twitter.com/download/android","Twitter for Android")</f>
        <v>Twitter for Android</v>
      </c>
      <c r="L1853" s="12">
        <v>35</v>
      </c>
      <c r="M1853" s="12">
        <v>82</v>
      </c>
      <c r="N1853" s="12">
        <v>0</v>
      </c>
      <c r="O1853" s="14"/>
      <c r="P1853" s="6">
        <v>41183.542523148149</v>
      </c>
      <c r="Q1853" s="11"/>
      <c r="R1853" s="17" t="s">
        <v>6384</v>
      </c>
      <c r="S1853" s="11"/>
      <c r="T1853" s="11"/>
      <c r="U1853" s="10" t="str">
        <f>HYPERLINK("https://pbs.twimg.com/profile_images/2669151646/5febf4affc7d76195fbbd8a3b08035a1.jpeg","View")</f>
        <v>View</v>
      </c>
    </row>
    <row r="1854" spans="1:21" ht="30.6">
      <c r="A1854" s="6">
        <v>43439.41097222222</v>
      </c>
      <c r="B1854" s="7" t="str">
        <f>HYPERLINK("https://twitter.com/DiezPuzzola","@DiezPuzzola")</f>
        <v>@DiezPuzzola</v>
      </c>
      <c r="C1854" s="8" t="s">
        <v>452</v>
      </c>
      <c r="D1854" s="9" t="s">
        <v>6455</v>
      </c>
      <c r="E1854" s="10" t="str">
        <f>HYPERLINK("https://twitter.com/DiezPuzzola/status/1070239303228448770","1070239303228448770")</f>
        <v>1070239303228448770</v>
      </c>
      <c r="F1854" s="11"/>
      <c r="G1854" s="11"/>
      <c r="H1854" s="11"/>
      <c r="I1854" s="12">
        <v>23</v>
      </c>
      <c r="J1854" s="12">
        <v>108</v>
      </c>
      <c r="K1854" s="13" t="str">
        <f t="shared" ref="K1854:K1855" si="414">HYPERLINK("http://twitter.com/download/iphone","Twitter for iPhone")</f>
        <v>Twitter for iPhone</v>
      </c>
      <c r="L1854" s="12">
        <v>10476</v>
      </c>
      <c r="M1854" s="12">
        <v>7845</v>
      </c>
      <c r="N1854" s="12">
        <v>84</v>
      </c>
      <c r="O1854" s="14"/>
      <c r="P1854" s="6">
        <v>41459.925185185188</v>
      </c>
      <c r="Q1854" s="15" t="s">
        <v>454</v>
      </c>
      <c r="R1854" s="17" t="s">
        <v>455</v>
      </c>
      <c r="S1854" s="11"/>
      <c r="T1854" s="11"/>
      <c r="U1854" s="10" t="str">
        <f>HYPERLINK("https://pbs.twimg.com/profile_images/1068591333651202048/xfR1ol_D.jpg","View")</f>
        <v>View</v>
      </c>
    </row>
    <row r="1855" spans="1:21" ht="30.6">
      <c r="A1855" s="6">
        <v>43439.410833333328</v>
      </c>
      <c r="B1855" s="7" t="str">
        <f>HYPERLINK("https://twitter.com/ollerox","@ollerox")</f>
        <v>@ollerox</v>
      </c>
      <c r="C1855" s="8" t="s">
        <v>6456</v>
      </c>
      <c r="D1855" s="9" t="s">
        <v>6457</v>
      </c>
      <c r="E1855" s="10" t="str">
        <f>HYPERLINK("https://twitter.com/ollerox/status/1070239251386777600","1070239251386777600")</f>
        <v>1070239251386777600</v>
      </c>
      <c r="F1855" s="11"/>
      <c r="G1855" s="11"/>
      <c r="H1855" s="11"/>
      <c r="I1855" s="12">
        <v>2</v>
      </c>
      <c r="J1855" s="12">
        <v>3</v>
      </c>
      <c r="K1855" s="13" t="str">
        <f t="shared" si="414"/>
        <v>Twitter for iPhone</v>
      </c>
      <c r="L1855" s="12">
        <v>184</v>
      </c>
      <c r="M1855" s="12">
        <v>332</v>
      </c>
      <c r="N1855" s="12">
        <v>2</v>
      </c>
      <c r="O1855" s="14"/>
      <c r="P1855" s="6">
        <v>40500.020162037035</v>
      </c>
      <c r="Q1855" s="15" t="s">
        <v>6458</v>
      </c>
      <c r="R1855" s="17" t="s">
        <v>6459</v>
      </c>
      <c r="S1855" s="11"/>
      <c r="T1855" s="11"/>
      <c r="U1855" s="10" t="str">
        <f>HYPERLINK("https://pbs.twimg.com/profile_images/885160787635032065/6WTtqOCq.jpg","View")</f>
        <v>View</v>
      </c>
    </row>
    <row r="1856" spans="1:21" ht="51">
      <c r="A1856" s="6">
        <v>43439.410740740743</v>
      </c>
      <c r="B1856" s="7" t="str">
        <f>HYPERLINK("https://twitter.com/Ivan92241169","@Ivan92241169")</f>
        <v>@Ivan92241169</v>
      </c>
      <c r="C1856" s="8" t="s">
        <v>22</v>
      </c>
      <c r="D1856" s="9" t="s">
        <v>6460</v>
      </c>
      <c r="E1856" s="10" t="str">
        <f>HYPERLINK("https://twitter.com/Ivan92241169/status/1070239218411192321","1070239218411192321")</f>
        <v>1070239218411192321</v>
      </c>
      <c r="F1856" s="11"/>
      <c r="G1856" s="11"/>
      <c r="H1856" s="11"/>
      <c r="I1856" s="12">
        <v>2</v>
      </c>
      <c r="J1856" s="12">
        <v>13</v>
      </c>
      <c r="K1856" s="13" t="str">
        <f>HYPERLINK("http://twitter.com/download/android","Twitter for Android")</f>
        <v>Twitter for Android</v>
      </c>
      <c r="L1856" s="12">
        <v>96</v>
      </c>
      <c r="M1856" s="12">
        <v>137</v>
      </c>
      <c r="N1856" s="12">
        <v>0</v>
      </c>
      <c r="O1856" s="14"/>
      <c r="P1856" s="6">
        <v>43384.573900462958</v>
      </c>
      <c r="Q1856" s="15" t="s">
        <v>25</v>
      </c>
      <c r="R1856" s="17" t="s">
        <v>26</v>
      </c>
      <c r="S1856" s="11"/>
      <c r="T1856" s="11"/>
      <c r="U1856" s="10" t="str">
        <f>HYPERLINK("https://pbs.twimg.com/profile_images/1050476391626625029/kyaKp9F9.jpg","View")</f>
        <v>View</v>
      </c>
    </row>
    <row r="1857" spans="1:21" ht="51">
      <c r="A1857" s="6">
        <v>43439.410578703704</v>
      </c>
      <c r="B1857" s="7" t="str">
        <f>HYPERLINK("https://twitter.com/jito1706","@jito1706")</f>
        <v>@jito1706</v>
      </c>
      <c r="C1857" s="8" t="s">
        <v>6461</v>
      </c>
      <c r="D1857" s="9" t="s">
        <v>6462</v>
      </c>
      <c r="E1857" s="10" t="str">
        <f>HYPERLINK("https://twitter.com/jito1706/status/1070239160508837888","1070239160508837888")</f>
        <v>1070239160508837888</v>
      </c>
      <c r="F1857" s="11"/>
      <c r="G1857" s="11"/>
      <c r="H1857" s="11"/>
      <c r="I1857" s="12">
        <v>1</v>
      </c>
      <c r="J1857" s="12">
        <v>6</v>
      </c>
      <c r="K1857" s="13" t="str">
        <f t="shared" ref="K1857:K1859" si="415">HYPERLINK("http://twitter.com/download/iphone","Twitter for iPhone")</f>
        <v>Twitter for iPhone</v>
      </c>
      <c r="L1857" s="12">
        <v>70</v>
      </c>
      <c r="M1857" s="12">
        <v>152</v>
      </c>
      <c r="N1857" s="12">
        <v>1</v>
      </c>
      <c r="O1857" s="14"/>
      <c r="P1857" s="6">
        <v>39743.750196759262</v>
      </c>
      <c r="Q1857" s="11"/>
      <c r="R1857" s="17" t="s">
        <v>6463</v>
      </c>
      <c r="S1857" s="11"/>
      <c r="T1857" s="11"/>
      <c r="U1857" s="10" t="str">
        <f>HYPERLINK("https://pbs.twimg.com/profile_images/905173065155440641/oqUzL7S7.jpg","View")</f>
        <v>View</v>
      </c>
    </row>
    <row r="1858" spans="1:21" ht="30.6">
      <c r="A1858" s="6">
        <v>43439.409756944442</v>
      </c>
      <c r="B1858" s="7" t="str">
        <f>HYPERLINK("https://twitter.com/AlejandroCancho","@AlejandroCancho")</f>
        <v>@AlejandroCancho</v>
      </c>
      <c r="C1858" s="8" t="s">
        <v>6464</v>
      </c>
      <c r="D1858" s="9" t="s">
        <v>6465</v>
      </c>
      <c r="E1858" s="10" t="str">
        <f>HYPERLINK("https://twitter.com/AlejandroCancho/status/1070238863308845061","1070238863308845061")</f>
        <v>1070238863308845061</v>
      </c>
      <c r="F1858" s="11"/>
      <c r="G1858" s="11"/>
      <c r="H1858" s="11"/>
      <c r="I1858" s="12">
        <v>0</v>
      </c>
      <c r="J1858" s="12">
        <v>0</v>
      </c>
      <c r="K1858" s="13" t="str">
        <f t="shared" si="415"/>
        <v>Twitter for iPhone</v>
      </c>
      <c r="L1858" s="12">
        <v>2478</v>
      </c>
      <c r="M1858" s="12">
        <v>1623</v>
      </c>
      <c r="N1858" s="12">
        <v>58</v>
      </c>
      <c r="O1858" s="14"/>
      <c r="P1858" s="6">
        <v>40666.677210648151</v>
      </c>
      <c r="Q1858" s="15" t="s">
        <v>6466</v>
      </c>
      <c r="R1858" s="17" t="s">
        <v>6467</v>
      </c>
      <c r="S1858" s="16" t="s">
        <v>6468</v>
      </c>
      <c r="T1858" s="11"/>
      <c r="U1858" s="10" t="str">
        <f>HYPERLINK("https://pbs.twimg.com/profile_images/988388362540277760/Ov0cUU8D.jpg","View")</f>
        <v>View</v>
      </c>
    </row>
    <row r="1859" spans="1:21" ht="20.399999999999999">
      <c r="A1859" s="6">
        <v>43439.409594907411</v>
      </c>
      <c r="B1859" s="7" t="str">
        <f>HYPERLINK("https://twitter.com/arturogiralt99","@arturogiralt99")</f>
        <v>@arturogiralt99</v>
      </c>
      <c r="C1859" s="8" t="s">
        <v>6469</v>
      </c>
      <c r="D1859" s="9" t="s">
        <v>6470</v>
      </c>
      <c r="E1859" s="10" t="str">
        <f>HYPERLINK("https://twitter.com/arturogiralt99/status/1070238804953448448","1070238804953448448")</f>
        <v>1070238804953448448</v>
      </c>
      <c r="F1859" s="11"/>
      <c r="G1859" s="11"/>
      <c r="H1859" s="11"/>
      <c r="I1859" s="12">
        <v>0</v>
      </c>
      <c r="J1859" s="12">
        <v>1</v>
      </c>
      <c r="K1859" s="13" t="str">
        <f t="shared" si="415"/>
        <v>Twitter for iPhone</v>
      </c>
      <c r="L1859" s="12">
        <v>309</v>
      </c>
      <c r="M1859" s="12">
        <v>381</v>
      </c>
      <c r="N1859" s="12">
        <v>2</v>
      </c>
      <c r="O1859" s="14"/>
      <c r="P1859" s="6">
        <v>40621.749988425923</v>
      </c>
      <c r="Q1859" s="15" t="s">
        <v>6471</v>
      </c>
      <c r="R1859" s="17" t="s">
        <v>6472</v>
      </c>
      <c r="S1859" s="11"/>
      <c r="T1859" s="11"/>
      <c r="U1859" s="10" t="str">
        <f>HYPERLINK("https://pbs.twimg.com/profile_images/1028651939859521536/9aSPSARn.jpg","View")</f>
        <v>View</v>
      </c>
    </row>
    <row r="1860" spans="1:21" ht="40.799999999999997">
      <c r="A1860" s="6">
        <v>43439.409050925926</v>
      </c>
      <c r="B1860" s="7" t="str">
        <f>HYPERLINK("https://twitter.com/LosFratelli","@LosFratelli")</f>
        <v>@LosFratelli</v>
      </c>
      <c r="C1860" s="8" t="s">
        <v>6473</v>
      </c>
      <c r="D1860" s="9" t="s">
        <v>6474</v>
      </c>
      <c r="E1860" s="10" t="str">
        <f>HYPERLINK("https://twitter.com/LosFratelli/status/1070238607603044353","1070238607603044353")</f>
        <v>1070238607603044353</v>
      </c>
      <c r="F1860" s="11"/>
      <c r="G1860" s="16" t="s">
        <v>6475</v>
      </c>
      <c r="H1860" s="11"/>
      <c r="I1860" s="12">
        <v>0</v>
      </c>
      <c r="J1860" s="12">
        <v>0</v>
      </c>
      <c r="K1860" s="13" t="str">
        <f>HYPERLINK("http://twitter.com","Twitter Web Client")</f>
        <v>Twitter Web Client</v>
      </c>
      <c r="L1860" s="12">
        <v>99</v>
      </c>
      <c r="M1860" s="12">
        <v>442</v>
      </c>
      <c r="N1860" s="12">
        <v>3</v>
      </c>
      <c r="O1860" s="14"/>
      <c r="P1860" s="6">
        <v>42214.338124999995</v>
      </c>
      <c r="Q1860" s="15" t="s">
        <v>6476</v>
      </c>
      <c r="R1860" s="17" t="s">
        <v>6477</v>
      </c>
      <c r="S1860" s="11"/>
      <c r="T1860" s="11"/>
      <c r="U1860" s="10" t="str">
        <f>HYPERLINK("https://pbs.twimg.com/profile_images/1005871105771532290/Rc0AhDdp.jpg","View")</f>
        <v>View</v>
      </c>
    </row>
    <row r="1861" spans="1:21" ht="30.6">
      <c r="A1861" s="6">
        <v>43439.409039351856</v>
      </c>
      <c r="B1861" s="7" t="str">
        <f>HYPERLINK("https://twitter.com/vialesyoel","@vialesyoel")</f>
        <v>@vialesyoel</v>
      </c>
      <c r="C1861" s="8" t="s">
        <v>6387</v>
      </c>
      <c r="D1861" s="9" t="s">
        <v>6478</v>
      </c>
      <c r="E1861" s="10" t="str">
        <f>HYPERLINK("https://twitter.com/vialesyoel/status/1070238602494398465","1070238602494398465")</f>
        <v>1070238602494398465</v>
      </c>
      <c r="F1861" s="11"/>
      <c r="G1861" s="11"/>
      <c r="H1861" s="11"/>
      <c r="I1861" s="12">
        <v>0</v>
      </c>
      <c r="J1861" s="12">
        <v>0</v>
      </c>
      <c r="K1861" s="13" t="str">
        <f>HYPERLINK("http://twitter.com/download/android","Twitter for Android")</f>
        <v>Twitter for Android</v>
      </c>
      <c r="L1861" s="12">
        <v>384</v>
      </c>
      <c r="M1861" s="12">
        <v>1104</v>
      </c>
      <c r="N1861" s="12">
        <v>0</v>
      </c>
      <c r="O1861" s="14"/>
      <c r="P1861" s="6">
        <v>40562.684120370366</v>
      </c>
      <c r="Q1861" s="15" t="s">
        <v>4233</v>
      </c>
      <c r="R1861" s="17" t="s">
        <v>6389</v>
      </c>
      <c r="S1861" s="11"/>
      <c r="T1861" s="11"/>
      <c r="U1861" s="10" t="str">
        <f>HYPERLINK("https://pbs.twimg.com/profile_images/884078170265329665/ADHDnit-.jpg","View")</f>
        <v>View</v>
      </c>
    </row>
    <row r="1862" spans="1:21" ht="20.399999999999999">
      <c r="A1862" s="6">
        <v>43439.40898148148</v>
      </c>
      <c r="B1862" s="7" t="str">
        <f>HYPERLINK("https://twitter.com/AmayaAcosta4","@AmayaAcosta4")</f>
        <v>@AmayaAcosta4</v>
      </c>
      <c r="C1862" s="8" t="s">
        <v>6479</v>
      </c>
      <c r="D1862" s="9" t="s">
        <v>6480</v>
      </c>
      <c r="E1862" s="10" t="str">
        <f>HYPERLINK("https://twitter.com/AmayaAcosta4/status/1070238581757763584","1070238581757763584")</f>
        <v>1070238581757763584</v>
      </c>
      <c r="F1862" s="11"/>
      <c r="G1862" s="11"/>
      <c r="H1862" s="11"/>
      <c r="I1862" s="12">
        <v>0</v>
      </c>
      <c r="J1862" s="12">
        <v>1</v>
      </c>
      <c r="K1862" s="13" t="str">
        <f>HYPERLINK("https://mobile.twitter.com","Twitter Lite")</f>
        <v>Twitter Lite</v>
      </c>
      <c r="L1862" s="12">
        <v>60</v>
      </c>
      <c r="M1862" s="12">
        <v>52</v>
      </c>
      <c r="N1862" s="12">
        <v>0</v>
      </c>
      <c r="O1862" s="14"/>
      <c r="P1862" s="6">
        <v>43308.893831018519</v>
      </c>
      <c r="Q1862" s="11"/>
      <c r="R1862" s="17" t="s">
        <v>6481</v>
      </c>
      <c r="S1862" s="11"/>
      <c r="T1862" s="11"/>
      <c r="U1862" s="10" t="str">
        <f>HYPERLINK("https://pbs.twimg.com/profile_images/1030533480474656770/a4ZHLNV2.jpg","View")</f>
        <v>View</v>
      </c>
    </row>
    <row r="1863" spans="1:21" ht="51">
      <c r="A1863" s="6">
        <v>43439.408680555556</v>
      </c>
      <c r="B1863" s="7" t="str">
        <f>HYPERLINK("https://twitter.com/Guillermo1008","@Guillermo1008")</f>
        <v>@Guillermo1008</v>
      </c>
      <c r="C1863" s="8" t="s">
        <v>6482</v>
      </c>
      <c r="D1863" s="9" t="s">
        <v>6483</v>
      </c>
      <c r="E1863" s="10" t="str">
        <f>HYPERLINK("https://twitter.com/Guillermo1008/status/1070238471443439617","1070238471443439617")</f>
        <v>1070238471443439617</v>
      </c>
      <c r="F1863" s="11"/>
      <c r="G1863" s="11"/>
      <c r="H1863" s="11"/>
      <c r="I1863" s="12">
        <v>0</v>
      </c>
      <c r="J1863" s="12">
        <v>0</v>
      </c>
      <c r="K1863" s="13" t="str">
        <f t="shared" ref="K1863:K1864" si="416">HYPERLINK("http://twitter.com/download/android","Twitter for Android")</f>
        <v>Twitter for Android</v>
      </c>
      <c r="L1863" s="12">
        <v>176</v>
      </c>
      <c r="M1863" s="12">
        <v>209</v>
      </c>
      <c r="N1863" s="12">
        <v>0</v>
      </c>
      <c r="O1863" s="14"/>
      <c r="P1863" s="6">
        <v>40687.696354166663</v>
      </c>
      <c r="Q1863" s="15" t="s">
        <v>612</v>
      </c>
      <c r="R1863" s="17" t="s">
        <v>6484</v>
      </c>
      <c r="S1863" s="11"/>
      <c r="T1863" s="11"/>
      <c r="U1863" s="10" t="str">
        <f>HYPERLINK("https://pbs.twimg.com/profile_images/1018440399814299649/VElu_IhR.jpg","View")</f>
        <v>View</v>
      </c>
    </row>
    <row r="1864" spans="1:21" ht="20.399999999999999">
      <c r="A1864" s="6">
        <v>43439.408506944441</v>
      </c>
      <c r="B1864" s="7" t="str">
        <f>HYPERLINK("https://twitter.com/mrpinguino_","@mrpinguino_")</f>
        <v>@mrpinguino_</v>
      </c>
      <c r="C1864" s="8" t="s">
        <v>4351</v>
      </c>
      <c r="D1864" s="9" t="s">
        <v>6485</v>
      </c>
      <c r="E1864" s="10" t="str">
        <f>HYPERLINK("https://twitter.com/mrpinguino_/status/1070238408457576449","1070238408457576449")</f>
        <v>1070238408457576449</v>
      </c>
      <c r="F1864" s="11"/>
      <c r="G1864" s="11"/>
      <c r="H1864" s="11"/>
      <c r="I1864" s="12">
        <v>0</v>
      </c>
      <c r="J1864" s="12">
        <v>0</v>
      </c>
      <c r="K1864" s="13" t="str">
        <f t="shared" si="416"/>
        <v>Twitter for Android</v>
      </c>
      <c r="L1864" s="12">
        <v>41</v>
      </c>
      <c r="M1864" s="12">
        <v>95</v>
      </c>
      <c r="N1864" s="12">
        <v>1</v>
      </c>
      <c r="O1864" s="14"/>
      <c r="P1864" s="6">
        <v>43281.393912037034</v>
      </c>
      <c r="Q1864" s="15" t="s">
        <v>4355</v>
      </c>
      <c r="R1864" s="17" t="s">
        <v>4356</v>
      </c>
      <c r="S1864" s="11"/>
      <c r="T1864" s="11"/>
      <c r="U1864" s="10" t="str">
        <f>HYPERLINK("https://pbs.twimg.com/profile_images/1063371576685531136/5IgORo0U.jpg","View")</f>
        <v>View</v>
      </c>
    </row>
    <row r="1865" spans="1:21" ht="51">
      <c r="A1865" s="6">
        <v>43439.408506944441</v>
      </c>
      <c r="B1865" s="7" t="str">
        <f>HYPERLINK("https://twitter.com/Ixone_SH","@Ixone_SH")</f>
        <v>@Ixone_SH</v>
      </c>
      <c r="C1865" s="8" t="s">
        <v>6298</v>
      </c>
      <c r="D1865" s="9" t="s">
        <v>6486</v>
      </c>
      <c r="E1865" s="10" t="str">
        <f>HYPERLINK("https://twitter.com/Ixone_SH/status/1070238407979356160","1070238407979356160")</f>
        <v>1070238407979356160</v>
      </c>
      <c r="F1865" s="11"/>
      <c r="G1865" s="11"/>
      <c r="H1865" s="11"/>
      <c r="I1865" s="12">
        <v>1</v>
      </c>
      <c r="J1865" s="12">
        <v>3</v>
      </c>
      <c r="K1865" s="13" t="str">
        <f>HYPERLINK("http://twitter.com/download/iphone","Twitter for iPhone")</f>
        <v>Twitter for iPhone</v>
      </c>
      <c r="L1865" s="12">
        <v>1644</v>
      </c>
      <c r="M1865" s="12">
        <v>1619</v>
      </c>
      <c r="N1865" s="12">
        <v>58</v>
      </c>
      <c r="O1865" s="14"/>
      <c r="P1865" s="6">
        <v>40303.579594907409</v>
      </c>
      <c r="Q1865" s="15" t="s">
        <v>6300</v>
      </c>
      <c r="R1865" s="17" t="s">
        <v>6301</v>
      </c>
      <c r="S1865" s="11"/>
      <c r="T1865" s="11"/>
      <c r="U1865" s="10" t="str">
        <f>HYPERLINK("https://pbs.twimg.com/profile_images/805796380753199105/svaJgXgK.jpg","View")</f>
        <v>View</v>
      </c>
    </row>
    <row r="1866" spans="1:21" ht="30.6">
      <c r="A1866" s="6">
        <v>43439.408449074079</v>
      </c>
      <c r="B1866" s="7" t="str">
        <f>HYPERLINK("https://twitter.com/gadorjoya","@gadorjoya")</f>
        <v>@gadorjoya</v>
      </c>
      <c r="C1866" s="8" t="s">
        <v>6180</v>
      </c>
      <c r="D1866" s="9" t="s">
        <v>6487</v>
      </c>
      <c r="E1866" s="10" t="str">
        <f>HYPERLINK("https://twitter.com/gadorjoya/status/1070238389235052545","1070238389235052545")</f>
        <v>1070238389235052545</v>
      </c>
      <c r="F1866" s="11"/>
      <c r="G1866" s="11"/>
      <c r="H1866" s="11"/>
      <c r="I1866" s="12">
        <v>10</v>
      </c>
      <c r="J1866" s="12">
        <v>11</v>
      </c>
      <c r="K1866" s="13" t="str">
        <f>HYPERLINK("https://mobile.twitter.com","Twitter Lite")</f>
        <v>Twitter Lite</v>
      </c>
      <c r="L1866" s="12">
        <v>6857</v>
      </c>
      <c r="M1866" s="12">
        <v>1629</v>
      </c>
      <c r="N1866" s="12">
        <v>125</v>
      </c>
      <c r="O1866" s="14"/>
      <c r="P1866" s="6">
        <v>40120.567349537036</v>
      </c>
      <c r="Q1866" s="15" t="s">
        <v>612</v>
      </c>
      <c r="R1866" s="18"/>
      <c r="S1866" s="11"/>
      <c r="T1866" s="11"/>
      <c r="U1866" s="10" t="str">
        <f>HYPERLINK("https://pbs.twimg.com/profile_images/871478927319072768/Kgou3D4F.jpg","View")</f>
        <v>View</v>
      </c>
    </row>
    <row r="1867" spans="1:21" ht="30.6">
      <c r="A1867" s="6">
        <v>43439.408148148148</v>
      </c>
      <c r="B1867" s="7" t="str">
        <f>HYPERLINK("https://twitter.com/profesorjaen","@profesorjaen")</f>
        <v>@profesorjaen</v>
      </c>
      <c r="C1867" s="8" t="s">
        <v>6488</v>
      </c>
      <c r="D1867" s="9" t="s">
        <v>6489</v>
      </c>
      <c r="E1867" s="10" t="str">
        <f>HYPERLINK("https://twitter.com/profesorjaen/status/1070238278501191681","1070238278501191681")</f>
        <v>1070238278501191681</v>
      </c>
      <c r="F1867" s="11"/>
      <c r="G1867" s="16" t="s">
        <v>6490</v>
      </c>
      <c r="H1867" s="11"/>
      <c r="I1867" s="12">
        <v>38</v>
      </c>
      <c r="J1867" s="12">
        <v>74</v>
      </c>
      <c r="K1867" s="13" t="str">
        <f>HYPERLINK("http://twitter.com/download/android","Twitter for Android")</f>
        <v>Twitter for Android</v>
      </c>
      <c r="L1867" s="12">
        <v>6373</v>
      </c>
      <c r="M1867" s="12">
        <v>200</v>
      </c>
      <c r="N1867" s="12">
        <v>119</v>
      </c>
      <c r="O1867" s="14"/>
      <c r="P1867" s="6">
        <v>40844.911736111113</v>
      </c>
      <c r="Q1867" s="15" t="s">
        <v>197</v>
      </c>
      <c r="R1867" s="17" t="s">
        <v>6491</v>
      </c>
      <c r="S1867" s="16" t="s">
        <v>6492</v>
      </c>
      <c r="T1867" s="11"/>
      <c r="U1867" s="10" t="str">
        <f>HYPERLINK("https://pbs.twimg.com/profile_images/914109676748509184/ubpWdGIE.jpg","View")</f>
        <v>View</v>
      </c>
    </row>
    <row r="1868" spans="1:21" ht="40.799999999999997">
      <c r="A1868" s="6">
        <v>43439.408078703702</v>
      </c>
      <c r="B1868" s="7" t="str">
        <f>HYPERLINK("https://twitter.com/aporromoles","@aporromoles")</f>
        <v>@aporromoles</v>
      </c>
      <c r="C1868" s="8" t="s">
        <v>6493</v>
      </c>
      <c r="D1868" s="9" t="s">
        <v>6494</v>
      </c>
      <c r="E1868" s="10" t="str">
        <f>HYPERLINK("https://twitter.com/aporromoles/status/1070238253813501952","1070238253813501952")</f>
        <v>1070238253813501952</v>
      </c>
      <c r="F1868" s="11"/>
      <c r="G1868" s="11"/>
      <c r="H1868" s="11"/>
      <c r="I1868" s="12">
        <v>0</v>
      </c>
      <c r="J1868" s="12">
        <v>0</v>
      </c>
      <c r="K1868" s="13" t="str">
        <f>HYPERLINK("https://mobile.twitter.com","Twitter Lite")</f>
        <v>Twitter Lite</v>
      </c>
      <c r="L1868" s="12">
        <v>235</v>
      </c>
      <c r="M1868" s="12">
        <v>907</v>
      </c>
      <c r="N1868" s="12">
        <v>1</v>
      </c>
      <c r="O1868" s="14"/>
      <c r="P1868" s="6">
        <v>41189.003877314812</v>
      </c>
      <c r="Q1868" s="15" t="s">
        <v>2875</v>
      </c>
      <c r="R1868" s="18"/>
      <c r="S1868" s="11"/>
      <c r="T1868" s="11"/>
      <c r="U1868" s="10" t="str">
        <f>HYPERLINK("https://pbs.twimg.com/profile_images/997836426430558209/HdVGNeKD.jpg","View")</f>
        <v>View</v>
      </c>
    </row>
    <row r="1869" spans="1:21" ht="51">
      <c r="A1869" s="6">
        <v>43439.407986111109</v>
      </c>
      <c r="B1869" s="7" t="str">
        <f>HYPERLINK("https://twitter.com/victoriaavega","@victoriaavega")</f>
        <v>@victoriaavega</v>
      </c>
      <c r="C1869" s="8" t="s">
        <v>6495</v>
      </c>
      <c r="D1869" s="9" t="s">
        <v>6496</v>
      </c>
      <c r="E1869" s="10" t="str">
        <f>HYPERLINK("https://twitter.com/victoriaavega/status/1070238220112273408","1070238220112273408")</f>
        <v>1070238220112273408</v>
      </c>
      <c r="F1869" s="11"/>
      <c r="G1869" s="11"/>
      <c r="H1869" s="11"/>
      <c r="I1869" s="12">
        <v>0</v>
      </c>
      <c r="J1869" s="12">
        <v>1</v>
      </c>
      <c r="K1869" s="13" t="str">
        <f>HYPERLINK("http://twitter.com/download/android","Twitter for Android")</f>
        <v>Twitter for Android</v>
      </c>
      <c r="L1869" s="12">
        <v>235</v>
      </c>
      <c r="M1869" s="12">
        <v>298</v>
      </c>
      <c r="N1869" s="12">
        <v>1</v>
      </c>
      <c r="O1869" s="14"/>
      <c r="P1869" s="6">
        <v>40390.695625</v>
      </c>
      <c r="Q1869" s="15" t="s">
        <v>6497</v>
      </c>
      <c r="R1869" s="17" t="s">
        <v>6498</v>
      </c>
      <c r="S1869" s="11"/>
      <c r="T1869" s="11"/>
      <c r="U1869" s="10" t="str">
        <f>HYPERLINK("https://pbs.twimg.com/profile_images/906975966622339072/YP2p1Msk.jpg","View")</f>
        <v>View</v>
      </c>
    </row>
    <row r="1870" spans="1:21" ht="40.799999999999997">
      <c r="A1870" s="6">
        <v>43439.407766203702</v>
      </c>
      <c r="B1870" s="7" t="str">
        <f>HYPERLINK("https://twitter.com/JoseMari2013","@JoseMari2013")</f>
        <v>@JoseMari2013</v>
      </c>
      <c r="C1870" s="8" t="s">
        <v>6499</v>
      </c>
      <c r="D1870" s="9" t="s">
        <v>6500</v>
      </c>
      <c r="E1870" s="10" t="str">
        <f>HYPERLINK("https://twitter.com/JoseMari2013/status/1070238141192253440","1070238141192253440")</f>
        <v>1070238141192253440</v>
      </c>
      <c r="F1870" s="11"/>
      <c r="G1870" s="11"/>
      <c r="H1870" s="11"/>
      <c r="I1870" s="12">
        <v>0</v>
      </c>
      <c r="J1870" s="12">
        <v>1</v>
      </c>
      <c r="K1870" s="13" t="str">
        <f>HYPERLINK("http://twitter.com","Twitter Web Client")</f>
        <v>Twitter Web Client</v>
      </c>
      <c r="L1870" s="12">
        <v>974</v>
      </c>
      <c r="M1870" s="12">
        <v>2121</v>
      </c>
      <c r="N1870" s="12">
        <v>8</v>
      </c>
      <c r="O1870" s="14"/>
      <c r="P1870" s="6">
        <v>41314.223946759259</v>
      </c>
      <c r="Q1870" s="15" t="s">
        <v>1192</v>
      </c>
      <c r="R1870" s="17" t="s">
        <v>6501</v>
      </c>
      <c r="S1870" s="11"/>
      <c r="T1870" s="11"/>
      <c r="U1870" s="10" t="str">
        <f>HYPERLINK("https://pbs.twimg.com/profile_images/1028985661255311361/jihgIJSz.jpg","View")</f>
        <v>View</v>
      </c>
    </row>
    <row r="1871" spans="1:21" ht="30.6">
      <c r="A1871" s="6">
        <v>43439.407476851848</v>
      </c>
      <c r="B1871" s="7" t="str">
        <f>HYPERLINK("https://twitter.com/Cone888","@Cone888")</f>
        <v>@Cone888</v>
      </c>
      <c r="C1871" s="8" t="s">
        <v>6502</v>
      </c>
      <c r="D1871" s="9" t="s">
        <v>6503</v>
      </c>
      <c r="E1871" s="10" t="str">
        <f>HYPERLINK("https://twitter.com/Cone888/status/1070238034883461121","1070238034883461121")</f>
        <v>1070238034883461121</v>
      </c>
      <c r="F1871" s="11"/>
      <c r="G1871" s="11"/>
      <c r="H1871" s="11"/>
      <c r="I1871" s="12">
        <v>0</v>
      </c>
      <c r="J1871" s="12">
        <v>0</v>
      </c>
      <c r="K1871" s="13" t="str">
        <f t="shared" ref="K1871:K1873" si="417">HYPERLINK("http://twitter.com/download/android","Twitter for Android")</f>
        <v>Twitter for Android</v>
      </c>
      <c r="L1871" s="12">
        <v>256</v>
      </c>
      <c r="M1871" s="12">
        <v>109</v>
      </c>
      <c r="N1871" s="12">
        <v>7</v>
      </c>
      <c r="O1871" s="14"/>
      <c r="P1871" s="6">
        <v>40328.92833333333</v>
      </c>
      <c r="Q1871" s="15" t="s">
        <v>954</v>
      </c>
      <c r="R1871" s="17" t="s">
        <v>6504</v>
      </c>
      <c r="S1871" s="11"/>
      <c r="T1871" s="11"/>
      <c r="U1871" s="10" t="str">
        <f>HYPERLINK("https://pbs.twimg.com/profile_images/607913242128752640/FypDpljy.jpg","View")</f>
        <v>View</v>
      </c>
    </row>
    <row r="1872" spans="1:21" ht="30.6">
      <c r="A1872" s="6">
        <v>43439.407175925924</v>
      </c>
      <c r="B1872" s="7" t="str">
        <f>HYPERLINK("https://twitter.com/Mrojas_","@Mrojas_")</f>
        <v>@Mrojas_</v>
      </c>
      <c r="C1872" s="8" t="s">
        <v>6505</v>
      </c>
      <c r="D1872" s="9" t="s">
        <v>6506</v>
      </c>
      <c r="E1872" s="10" t="str">
        <f>HYPERLINK("https://twitter.com/Mrojas_/status/1070237927744122880","1070237927744122880")</f>
        <v>1070237927744122880</v>
      </c>
      <c r="F1872" s="11"/>
      <c r="G1872" s="11"/>
      <c r="H1872" s="11"/>
      <c r="I1872" s="12">
        <v>1</v>
      </c>
      <c r="J1872" s="12">
        <v>2</v>
      </c>
      <c r="K1872" s="13" t="str">
        <f t="shared" si="417"/>
        <v>Twitter for Android</v>
      </c>
      <c r="L1872" s="12">
        <v>1261</v>
      </c>
      <c r="M1872" s="12">
        <v>1068</v>
      </c>
      <c r="N1872" s="12">
        <v>31</v>
      </c>
      <c r="O1872" s="14"/>
      <c r="P1872" s="6">
        <v>40651.773842592593</v>
      </c>
      <c r="Q1872" s="11"/>
      <c r="R1872" s="17" t="s">
        <v>6507</v>
      </c>
      <c r="S1872" s="11"/>
      <c r="T1872" s="11"/>
      <c r="U1872" s="10" t="str">
        <f>HYPERLINK("https://pbs.twimg.com/profile_images/1316238347/foto_luis.jpg","View")</f>
        <v>View</v>
      </c>
    </row>
    <row r="1873" spans="1:21" ht="20.399999999999999">
      <c r="A1873" s="6">
        <v>43439.407152777778</v>
      </c>
      <c r="B1873" s="7" t="str">
        <f>HYPERLINK("https://twitter.com/nihilistos","@nihilistos")</f>
        <v>@nihilistos</v>
      </c>
      <c r="C1873" s="8" t="s">
        <v>6256</v>
      </c>
      <c r="D1873" s="9" t="s">
        <v>6508</v>
      </c>
      <c r="E1873" s="10" t="str">
        <f>HYPERLINK("https://twitter.com/nihilistos/status/1070237918067916802","1070237918067916802")</f>
        <v>1070237918067916802</v>
      </c>
      <c r="F1873" s="11"/>
      <c r="G1873" s="11"/>
      <c r="H1873" s="11"/>
      <c r="I1873" s="12">
        <v>0</v>
      </c>
      <c r="J1873" s="12">
        <v>0</v>
      </c>
      <c r="K1873" s="13" t="str">
        <f t="shared" si="417"/>
        <v>Twitter for Android</v>
      </c>
      <c r="L1873" s="12">
        <v>1421</v>
      </c>
      <c r="M1873" s="12">
        <v>1006</v>
      </c>
      <c r="N1873" s="12">
        <v>0</v>
      </c>
      <c r="O1873" s="14"/>
      <c r="P1873" s="6">
        <v>43177.761678240742</v>
      </c>
      <c r="Q1873" s="15" t="s">
        <v>6258</v>
      </c>
      <c r="R1873" s="17" t="s">
        <v>6259</v>
      </c>
      <c r="S1873" s="11"/>
      <c r="T1873" s="11"/>
      <c r="U1873" s="10" t="str">
        <f>HYPERLINK("https://pbs.twimg.com/profile_images/1007672465269587970/XVq6swR8.jpg","View")</f>
        <v>View</v>
      </c>
    </row>
    <row r="1874" spans="1:21" ht="51">
      <c r="A1874" s="6">
        <v>43439.407083333332</v>
      </c>
      <c r="B1874" s="7" t="str">
        <f>HYPERLINK("https://twitter.com/sonsolesonega","@sonsolesonega")</f>
        <v>@sonsolesonega</v>
      </c>
      <c r="C1874" s="8" t="s">
        <v>6509</v>
      </c>
      <c r="D1874" s="9" t="s">
        <v>6510</v>
      </c>
      <c r="E1874" s="10" t="str">
        <f>HYPERLINK("https://twitter.com/sonsolesonega/status/1070237891392098305","1070237891392098305")</f>
        <v>1070237891392098305</v>
      </c>
      <c r="F1874" s="11"/>
      <c r="G1874" s="16" t="s">
        <v>6511</v>
      </c>
      <c r="H1874" s="11"/>
      <c r="I1874" s="12">
        <v>16</v>
      </c>
      <c r="J1874" s="12">
        <v>26</v>
      </c>
      <c r="K1874" s="13" t="str">
        <f>HYPERLINK("http://twitter.com/download/iphone","Twitter for iPhone")</f>
        <v>Twitter for iPhone</v>
      </c>
      <c r="L1874" s="12">
        <v>39675</v>
      </c>
      <c r="M1874" s="12">
        <v>1746</v>
      </c>
      <c r="N1874" s="12">
        <v>992</v>
      </c>
      <c r="O1874" s="23" t="s">
        <v>89</v>
      </c>
      <c r="P1874" s="6">
        <v>40512.932951388888</v>
      </c>
      <c r="Q1874" s="15" t="s">
        <v>501</v>
      </c>
      <c r="R1874" s="17" t="s">
        <v>6512</v>
      </c>
      <c r="S1874" s="16" t="s">
        <v>6513</v>
      </c>
      <c r="T1874" s="11"/>
      <c r="U1874" s="10" t="str">
        <f>HYPERLINK("https://pbs.twimg.com/profile_images/1030474043479257090/H5b61hpo.jpg","View")</f>
        <v>View</v>
      </c>
    </row>
    <row r="1875" spans="1:21" ht="51">
      <c r="A1875" s="6">
        <v>43439.406412037039</v>
      </c>
      <c r="B1875" s="7" t="str">
        <f>HYPERLINK("https://twitter.com/Pepeinfierno","@Pepeinfierno")</f>
        <v>@Pepeinfierno</v>
      </c>
      <c r="C1875" s="8" t="s">
        <v>6235</v>
      </c>
      <c r="D1875" s="9" t="s">
        <v>6514</v>
      </c>
      <c r="E1875" s="10" t="str">
        <f>HYPERLINK("https://twitter.com/Pepeinfierno/status/1070237651196887040","1070237651196887040")</f>
        <v>1070237651196887040</v>
      </c>
      <c r="F1875" s="11"/>
      <c r="G1875" s="11"/>
      <c r="H1875" s="11"/>
      <c r="I1875" s="12">
        <v>7</v>
      </c>
      <c r="J1875" s="12">
        <v>18</v>
      </c>
      <c r="K1875" s="13" t="str">
        <f>HYPERLINK("http://twitter.com","Twitter Web Client")</f>
        <v>Twitter Web Client</v>
      </c>
      <c r="L1875" s="12">
        <v>217</v>
      </c>
      <c r="M1875" s="12">
        <v>30</v>
      </c>
      <c r="N1875" s="12">
        <v>1</v>
      </c>
      <c r="O1875" s="14"/>
      <c r="P1875" s="6">
        <v>42952.289293981477</v>
      </c>
      <c r="Q1875" s="11"/>
      <c r="R1875" s="17" t="s">
        <v>6237</v>
      </c>
      <c r="S1875" s="11"/>
      <c r="T1875" s="11"/>
      <c r="U1875" s="10" t="str">
        <f>HYPERLINK("https://pbs.twimg.com/profile_images/981473222716739585/JILFkVEZ.jpg","View")</f>
        <v>View</v>
      </c>
    </row>
    <row r="1876" spans="1:21" ht="61.2">
      <c r="A1876" s="6">
        <v>43439.406377314815</v>
      </c>
      <c r="B1876" s="7" t="str">
        <f>HYPERLINK("https://twitter.com/MaanuBetico24","@MaanuBetico24")</f>
        <v>@MaanuBetico24</v>
      </c>
      <c r="C1876" s="8" t="s">
        <v>6515</v>
      </c>
      <c r="D1876" s="9" t="s">
        <v>6516</v>
      </c>
      <c r="E1876" s="10" t="str">
        <f>HYPERLINK("https://twitter.com/MaanuBetico24/status/1070237636332277760","1070237636332277760")</f>
        <v>1070237636332277760</v>
      </c>
      <c r="F1876" s="16" t="s">
        <v>5850</v>
      </c>
      <c r="G1876" s="11"/>
      <c r="H1876" s="11"/>
      <c r="I1876" s="12">
        <v>0</v>
      </c>
      <c r="J1876" s="12">
        <v>0</v>
      </c>
      <c r="K1876" s="13" t="str">
        <f>HYPERLINK("http://twitter.com/download/android","Twitter for Android")</f>
        <v>Twitter for Android</v>
      </c>
      <c r="L1876" s="12">
        <v>1168</v>
      </c>
      <c r="M1876" s="12">
        <v>732</v>
      </c>
      <c r="N1876" s="12">
        <v>11</v>
      </c>
      <c r="O1876" s="14"/>
      <c r="P1876" s="6">
        <v>40621.081458333334</v>
      </c>
      <c r="Q1876" s="15" t="s">
        <v>6517</v>
      </c>
      <c r="R1876" s="17" t="s">
        <v>6518</v>
      </c>
      <c r="S1876" s="16" t="s">
        <v>6519</v>
      </c>
      <c r="T1876" s="11"/>
      <c r="U1876" s="10" t="str">
        <f>HYPERLINK("https://pbs.twimg.com/profile_images/959960897883197440/yn5mFw-r.jpg","View")</f>
        <v>View</v>
      </c>
    </row>
    <row r="1877" spans="1:21" ht="51">
      <c r="A1877" s="6">
        <v>43439.4059375</v>
      </c>
      <c r="B1877" s="7" t="str">
        <f>HYPERLINK("https://twitter.com/LeoncicoBalboa","@LeoncicoBalboa")</f>
        <v>@LeoncicoBalboa</v>
      </c>
      <c r="C1877" s="8" t="s">
        <v>6520</v>
      </c>
      <c r="D1877" s="9" t="s">
        <v>6521</v>
      </c>
      <c r="E1877" s="10" t="str">
        <f>HYPERLINK("https://twitter.com/LeoncicoBalboa/status/1070237476923600896","1070237476923600896")</f>
        <v>1070237476923600896</v>
      </c>
      <c r="F1877" s="11"/>
      <c r="G1877" s="11"/>
      <c r="H1877" s="11"/>
      <c r="I1877" s="12">
        <v>0</v>
      </c>
      <c r="J1877" s="12">
        <v>1</v>
      </c>
      <c r="K1877" s="13" t="str">
        <f>HYPERLINK("https://mobile.twitter.com","Twitter Lite")</f>
        <v>Twitter Lite</v>
      </c>
      <c r="L1877" s="12">
        <v>22</v>
      </c>
      <c r="M1877" s="12">
        <v>23</v>
      </c>
      <c r="N1877" s="12">
        <v>0</v>
      </c>
      <c r="O1877" s="14"/>
      <c r="P1877" s="6">
        <v>42969.826469907406</v>
      </c>
      <c r="Q1877" s="11"/>
      <c r="R1877" s="17" t="s">
        <v>6522</v>
      </c>
      <c r="S1877" s="11"/>
      <c r="T1877" s="11"/>
      <c r="U1877" s="10" t="str">
        <f>HYPERLINK("https://pbs.twimg.com/profile_images/900065353061019650/s7lJONBH.jpg","View")</f>
        <v>View</v>
      </c>
    </row>
    <row r="1878" spans="1:21" ht="20.399999999999999">
      <c r="A1878" s="6">
        <v>43439.40525462963</v>
      </c>
      <c r="B1878" s="7" t="str">
        <f>HYPERLINK("https://twitter.com/gonzafdez","@gonzafdez")</f>
        <v>@gonzafdez</v>
      </c>
      <c r="C1878" s="8" t="s">
        <v>2809</v>
      </c>
      <c r="D1878" s="9" t="s">
        <v>6523</v>
      </c>
      <c r="E1878" s="10" t="str">
        <f>HYPERLINK("https://twitter.com/gonzafdez/status/1070237230927630337","1070237230927630337")</f>
        <v>1070237230927630337</v>
      </c>
      <c r="F1878" s="11"/>
      <c r="G1878" s="11"/>
      <c r="H1878" s="11"/>
      <c r="I1878" s="12">
        <v>0</v>
      </c>
      <c r="J1878" s="12">
        <v>0</v>
      </c>
      <c r="K1878" s="13" t="str">
        <f>HYPERLINK("http://twitter.com/download/android","Twitter for Android")</f>
        <v>Twitter for Android</v>
      </c>
      <c r="L1878" s="12">
        <v>301</v>
      </c>
      <c r="M1878" s="12">
        <v>231</v>
      </c>
      <c r="N1878" s="12">
        <v>4</v>
      </c>
      <c r="O1878" s="14"/>
      <c r="P1878" s="6">
        <v>41201.771550925929</v>
      </c>
      <c r="Q1878" s="15" t="s">
        <v>56</v>
      </c>
      <c r="R1878" s="17" t="s">
        <v>6524</v>
      </c>
      <c r="S1878" s="11"/>
      <c r="T1878" s="11"/>
      <c r="U1878" s="10" t="str">
        <f>HYPERLINK("https://pbs.twimg.com/profile_images/905371225073098757/MAFHplxq.jpg","View")</f>
        <v>View</v>
      </c>
    </row>
    <row r="1879" spans="1:21" ht="20.399999999999999">
      <c r="A1879" s="6">
        <v>43439.404791666668</v>
      </c>
      <c r="B1879" s="7" t="str">
        <f>HYPERLINK("https://twitter.com/mrayessb","@mrayessb")</f>
        <v>@mrayessb</v>
      </c>
      <c r="C1879" s="8" t="s">
        <v>6525</v>
      </c>
      <c r="D1879" s="9" t="s">
        <v>6526</v>
      </c>
      <c r="E1879" s="10" t="str">
        <f>HYPERLINK("https://twitter.com/mrayessb/status/1070237063834939393","1070237063834939393")</f>
        <v>1070237063834939393</v>
      </c>
      <c r="F1879" s="11"/>
      <c r="G1879" s="11"/>
      <c r="H1879" s="11"/>
      <c r="I1879" s="12">
        <v>0</v>
      </c>
      <c r="J1879" s="12">
        <v>1</v>
      </c>
      <c r="K1879" s="13" t="str">
        <f>HYPERLINK("http://twitter.com/download/iphone","Twitter for iPhone")</f>
        <v>Twitter for iPhone</v>
      </c>
      <c r="L1879" s="12">
        <v>20</v>
      </c>
      <c r="M1879" s="12">
        <v>75</v>
      </c>
      <c r="N1879" s="12">
        <v>0</v>
      </c>
      <c r="O1879" s="14"/>
      <c r="P1879" s="6">
        <v>43349.951388888891</v>
      </c>
      <c r="Q1879" s="15" t="s">
        <v>185</v>
      </c>
      <c r="R1879" s="17" t="s">
        <v>6527</v>
      </c>
      <c r="S1879" s="11"/>
      <c r="T1879" s="11"/>
      <c r="U1879" s="10" t="str">
        <f>HYPERLINK("https://pbs.twimg.com/profile_images/1037806296769150976/EEdlI10M.jpg","View")</f>
        <v>View</v>
      </c>
    </row>
    <row r="1880" spans="1:21" ht="30.6">
      <c r="A1880" s="6">
        <v>43439.404722222222</v>
      </c>
      <c r="B1880" s="7" t="str">
        <f>HYPERLINK("https://twitter.com/PeGeCe72","@PeGeCe72")</f>
        <v>@PeGeCe72</v>
      </c>
      <c r="C1880" s="8" t="s">
        <v>6528</v>
      </c>
      <c r="D1880" s="9" t="s">
        <v>6529</v>
      </c>
      <c r="E1880" s="10" t="str">
        <f>HYPERLINK("https://twitter.com/PeGeCe72/status/1070237037704437760","1070237037704437760")</f>
        <v>1070237037704437760</v>
      </c>
      <c r="F1880" s="11"/>
      <c r="G1880" s="11"/>
      <c r="H1880" s="11"/>
      <c r="I1880" s="12">
        <v>1</v>
      </c>
      <c r="J1880" s="12">
        <v>2</v>
      </c>
      <c r="K1880" s="13" t="str">
        <f>HYPERLINK("http://twitter.com/download/android","Twitter for Android")</f>
        <v>Twitter for Android</v>
      </c>
      <c r="L1880" s="12">
        <v>161</v>
      </c>
      <c r="M1880" s="12">
        <v>193</v>
      </c>
      <c r="N1880" s="12">
        <v>0</v>
      </c>
      <c r="O1880" s="14"/>
      <c r="P1880" s="6">
        <v>43367.735046296293</v>
      </c>
      <c r="Q1880" s="11"/>
      <c r="R1880" s="17" t="s">
        <v>6530</v>
      </c>
      <c r="S1880" s="11"/>
      <c r="T1880" s="11"/>
      <c r="U1880" s="10" t="str">
        <f>HYPERLINK("https://pbs.twimg.com/profile_images/1070650020565786629/9I6l_W3V.jpg","View")</f>
        <v>View</v>
      </c>
    </row>
    <row r="1881" spans="1:21" ht="61.2">
      <c r="A1881" s="6">
        <v>43439.404664351852</v>
      </c>
      <c r="B1881" s="7" t="str">
        <f>HYPERLINK("https://twitter.com/elLokoOnFire","@elLokoOnFire")</f>
        <v>@elLokoOnFire</v>
      </c>
      <c r="C1881" s="8" t="s">
        <v>1223</v>
      </c>
      <c r="D1881" s="9" t="s">
        <v>6531</v>
      </c>
      <c r="E1881" s="10" t="str">
        <f>HYPERLINK("https://twitter.com/elLokoOnFire/status/1070237016443490305","1070237016443490305")</f>
        <v>1070237016443490305</v>
      </c>
      <c r="F1881" s="11"/>
      <c r="G1881" s="16" t="s">
        <v>6532</v>
      </c>
      <c r="H1881" s="11"/>
      <c r="I1881" s="12">
        <v>4</v>
      </c>
      <c r="J1881" s="12">
        <v>2</v>
      </c>
      <c r="K1881" s="13" t="str">
        <f>HYPERLINK("http://twitter.com/download/iphone","Twitter for iPhone")</f>
        <v>Twitter for iPhone</v>
      </c>
      <c r="L1881" s="12">
        <v>3214</v>
      </c>
      <c r="M1881" s="12">
        <v>2813</v>
      </c>
      <c r="N1881" s="12">
        <v>9</v>
      </c>
      <c r="O1881" s="14"/>
      <c r="P1881" s="6">
        <v>42794.544652777782</v>
      </c>
      <c r="Q1881" s="15" t="s">
        <v>1226</v>
      </c>
      <c r="R1881" s="17" t="s">
        <v>1227</v>
      </c>
      <c r="S1881" s="11"/>
      <c r="T1881" s="11"/>
      <c r="U1881" s="10" t="str">
        <f>HYPERLINK("https://pbs.twimg.com/profile_images/836569302023221250/KFiIuXuN.jpg","View")</f>
        <v>View</v>
      </c>
    </row>
    <row r="1882" spans="1:21" ht="40.799999999999997">
      <c r="A1882" s="6">
        <v>43439.404467592598</v>
      </c>
      <c r="B1882" s="7" t="str">
        <f>HYPERLINK("https://twitter.com/BarbaraSV81","@BarbaraSV81")</f>
        <v>@BarbaraSV81</v>
      </c>
      <c r="C1882" s="8" t="s">
        <v>6533</v>
      </c>
      <c r="D1882" s="9" t="s">
        <v>6534</v>
      </c>
      <c r="E1882" s="10" t="str">
        <f>HYPERLINK("https://twitter.com/BarbaraSV81/status/1070236943701688320","1070236943701688320")</f>
        <v>1070236943701688320</v>
      </c>
      <c r="F1882" s="11"/>
      <c r="G1882" s="11"/>
      <c r="H1882" s="11"/>
      <c r="I1882" s="12">
        <v>0</v>
      </c>
      <c r="J1882" s="12">
        <v>4</v>
      </c>
      <c r="K1882" s="13" t="str">
        <f>HYPERLINK("http://twitter.com/download/android","Twitter for Android")</f>
        <v>Twitter for Android</v>
      </c>
      <c r="L1882" s="12">
        <v>86</v>
      </c>
      <c r="M1882" s="12">
        <v>177</v>
      </c>
      <c r="N1882" s="12">
        <v>0</v>
      </c>
      <c r="O1882" s="14"/>
      <c r="P1882" s="6">
        <v>41957.739328703705</v>
      </c>
      <c r="Q1882" s="11"/>
      <c r="R1882" s="17" t="s">
        <v>6535</v>
      </c>
      <c r="S1882" s="11"/>
      <c r="T1882" s="11"/>
      <c r="U1882" s="10" t="str">
        <f>HYPERLINK("https://pbs.twimg.com/profile_images/921455427392503810/iVH4ZQLC.jpg","View")</f>
        <v>View</v>
      </c>
    </row>
    <row r="1883" spans="1:21" ht="30.6">
      <c r="A1883" s="6">
        <v>43439.404386574075</v>
      </c>
      <c r="B1883" s="7" t="str">
        <f>HYPERLINK("https://twitter.com/Ixone_SH","@Ixone_SH")</f>
        <v>@Ixone_SH</v>
      </c>
      <c r="C1883" s="8" t="s">
        <v>6298</v>
      </c>
      <c r="D1883" s="9" t="s">
        <v>6536</v>
      </c>
      <c r="E1883" s="10" t="str">
        <f>HYPERLINK("https://twitter.com/Ixone_SH/status/1070236914266112001","1070236914266112001")</f>
        <v>1070236914266112001</v>
      </c>
      <c r="F1883" s="11"/>
      <c r="G1883" s="11"/>
      <c r="H1883" s="11"/>
      <c r="I1883" s="12">
        <v>1</v>
      </c>
      <c r="J1883" s="12">
        <v>2</v>
      </c>
      <c r="K1883" s="13" t="str">
        <f>HYPERLINK("http://twitter.com/download/iphone","Twitter for iPhone")</f>
        <v>Twitter for iPhone</v>
      </c>
      <c r="L1883" s="12">
        <v>1644</v>
      </c>
      <c r="M1883" s="12">
        <v>1619</v>
      </c>
      <c r="N1883" s="12">
        <v>58</v>
      </c>
      <c r="O1883" s="14"/>
      <c r="P1883" s="6">
        <v>40303.579594907409</v>
      </c>
      <c r="Q1883" s="15" t="s">
        <v>6300</v>
      </c>
      <c r="R1883" s="17" t="s">
        <v>6301</v>
      </c>
      <c r="S1883" s="11"/>
      <c r="T1883" s="11"/>
      <c r="U1883" s="10" t="str">
        <f>HYPERLINK("https://pbs.twimg.com/profile_images/805796380753199105/svaJgXgK.jpg","View")</f>
        <v>View</v>
      </c>
    </row>
    <row r="1884" spans="1:21" ht="40.799999999999997">
      <c r="A1884" s="6">
        <v>43439.404085648144</v>
      </c>
      <c r="B1884" s="7" t="str">
        <f>HYPERLINK("https://twitter.com/CarolMcCoglan","@CarolMcCoglan")</f>
        <v>@CarolMcCoglan</v>
      </c>
      <c r="C1884" s="8" t="s">
        <v>6416</v>
      </c>
      <c r="D1884" s="9" t="s">
        <v>6537</v>
      </c>
      <c r="E1884" s="10" t="str">
        <f>HYPERLINK("https://twitter.com/CarolMcCoglan/status/1070236808225742849","1070236808225742849")</f>
        <v>1070236808225742849</v>
      </c>
      <c r="F1884" s="11"/>
      <c r="G1884" s="11"/>
      <c r="H1884" s="11"/>
      <c r="I1884" s="12">
        <v>0</v>
      </c>
      <c r="J1884" s="12">
        <v>0</v>
      </c>
      <c r="K1884" s="13" t="str">
        <f>HYPERLINK("http://twitter.com","Twitter Web Client")</f>
        <v>Twitter Web Client</v>
      </c>
      <c r="L1884" s="12">
        <v>3001</v>
      </c>
      <c r="M1884" s="12">
        <v>4798</v>
      </c>
      <c r="N1884" s="12">
        <v>33</v>
      </c>
      <c r="O1884" s="14"/>
      <c r="P1884" s="6">
        <v>41882.611875000002</v>
      </c>
      <c r="Q1884" s="15" t="s">
        <v>4167</v>
      </c>
      <c r="R1884" s="17" t="s">
        <v>6418</v>
      </c>
      <c r="S1884" s="11"/>
      <c r="T1884" s="11"/>
      <c r="U1884" s="10" t="str">
        <f>HYPERLINK("https://pbs.twimg.com/profile_images/1070085875353161730/M_JgCvRz.jpg","View")</f>
        <v>View</v>
      </c>
    </row>
    <row r="1885" spans="1:21" ht="51">
      <c r="A1885" s="6">
        <v>43439.403912037036</v>
      </c>
      <c r="B1885" s="7" t="str">
        <f>HYPERLINK("https://twitter.com/AndreaSwertz1","@AndreaSwertz1")</f>
        <v>@AndreaSwertz1</v>
      </c>
      <c r="C1885" s="8" t="s">
        <v>5676</v>
      </c>
      <c r="D1885" s="9" t="s">
        <v>6538</v>
      </c>
      <c r="E1885" s="10" t="str">
        <f>HYPERLINK("https://twitter.com/AndreaSwertz1/status/1070236745197862912","1070236745197862912")</f>
        <v>1070236745197862912</v>
      </c>
      <c r="F1885" s="11"/>
      <c r="G1885" s="11"/>
      <c r="H1885" s="11"/>
      <c r="I1885" s="12">
        <v>1</v>
      </c>
      <c r="J1885" s="12">
        <v>1</v>
      </c>
      <c r="K1885" s="13" t="str">
        <f t="shared" ref="K1885:K1886" si="418">HYPERLINK("http://twitter.com/download/iphone","Twitter for iPhone")</f>
        <v>Twitter for iPhone</v>
      </c>
      <c r="L1885" s="12">
        <v>17</v>
      </c>
      <c r="M1885" s="12">
        <v>57</v>
      </c>
      <c r="N1885" s="12">
        <v>0</v>
      </c>
      <c r="O1885" s="14"/>
      <c r="P1885" s="6">
        <v>43104.423483796301</v>
      </c>
      <c r="Q1885" s="15" t="s">
        <v>5678</v>
      </c>
      <c r="R1885" s="17" t="s">
        <v>5679</v>
      </c>
      <c r="S1885" s="11"/>
      <c r="T1885" s="11"/>
      <c r="U1885" s="10" t="str">
        <f>HYPERLINK("https://pbs.twimg.com/profile_images/1031439817450631168/rFsKjRsM.jpg","View")</f>
        <v>View</v>
      </c>
    </row>
    <row r="1886" spans="1:21" ht="13.2">
      <c r="A1886" s="6">
        <v>43439.403749999998</v>
      </c>
      <c r="B1886" s="7" t="str">
        <f>HYPERLINK("https://twitter.com/arturogiralt99","@arturogiralt99")</f>
        <v>@arturogiralt99</v>
      </c>
      <c r="C1886" s="8" t="s">
        <v>6469</v>
      </c>
      <c r="D1886" s="9" t="s">
        <v>6539</v>
      </c>
      <c r="E1886" s="10" t="str">
        <f>HYPERLINK("https://twitter.com/arturogiralt99/status/1070236685118533632","1070236685118533632")</f>
        <v>1070236685118533632</v>
      </c>
      <c r="F1886" s="11"/>
      <c r="G1886" s="11"/>
      <c r="H1886" s="11"/>
      <c r="I1886" s="12">
        <v>0</v>
      </c>
      <c r="J1886" s="12">
        <v>0</v>
      </c>
      <c r="K1886" s="13" t="str">
        <f t="shared" si="418"/>
        <v>Twitter for iPhone</v>
      </c>
      <c r="L1886" s="12">
        <v>309</v>
      </c>
      <c r="M1886" s="12">
        <v>381</v>
      </c>
      <c r="N1886" s="12">
        <v>2</v>
      </c>
      <c r="O1886" s="14"/>
      <c r="P1886" s="6">
        <v>40621.749988425923</v>
      </c>
      <c r="Q1886" s="15" t="s">
        <v>6471</v>
      </c>
      <c r="R1886" s="17" t="s">
        <v>6472</v>
      </c>
      <c r="S1886" s="11"/>
      <c r="T1886" s="11"/>
      <c r="U1886" s="10" t="str">
        <f>HYPERLINK("https://pbs.twimg.com/profile_images/1028651939859521536/9aSPSARn.jpg","View")</f>
        <v>View</v>
      </c>
    </row>
    <row r="1887" spans="1:21" ht="51">
      <c r="A1887" s="6">
        <v>43439.403553240743</v>
      </c>
      <c r="B1887" s="7" t="str">
        <f>HYPERLINK("https://twitter.com/RaPiqFu","@RaPiqFu")</f>
        <v>@RaPiqFu</v>
      </c>
      <c r="C1887" s="8" t="s">
        <v>6540</v>
      </c>
      <c r="D1887" s="9" t="s">
        <v>6541</v>
      </c>
      <c r="E1887" s="10" t="str">
        <f>HYPERLINK("https://twitter.com/RaPiqFu/status/1070236615321288705","1070236615321288705")</f>
        <v>1070236615321288705</v>
      </c>
      <c r="F1887" s="11"/>
      <c r="G1887" s="11"/>
      <c r="H1887" s="11"/>
      <c r="I1887" s="12">
        <v>1</v>
      </c>
      <c r="J1887" s="12">
        <v>2</v>
      </c>
      <c r="K1887" s="13" t="str">
        <f>HYPERLINK("http://twitter.com/download/android","Twitter for Android")</f>
        <v>Twitter for Android</v>
      </c>
      <c r="L1887" s="12">
        <v>1592</v>
      </c>
      <c r="M1887" s="12">
        <v>814</v>
      </c>
      <c r="N1887" s="12">
        <v>21</v>
      </c>
      <c r="O1887" s="14"/>
      <c r="P1887" s="6">
        <v>40595.905127314814</v>
      </c>
      <c r="Q1887" s="15" t="s">
        <v>100</v>
      </c>
      <c r="R1887" s="17" t="s">
        <v>6542</v>
      </c>
      <c r="S1887" s="11"/>
      <c r="T1887" s="11"/>
      <c r="U1887" s="10" t="str">
        <f>HYPERLINK("https://pbs.twimg.com/profile_images/1069925999566041088/3oxibisV.jpg","View")</f>
        <v>View</v>
      </c>
    </row>
    <row r="1888" spans="1:21" ht="20.399999999999999">
      <c r="A1888" s="6">
        <v>43439.402824074074</v>
      </c>
      <c r="B1888" s="7" t="str">
        <f>HYPERLINK("https://twitter.com/Ixone_SH","@Ixone_SH")</f>
        <v>@Ixone_SH</v>
      </c>
      <c r="C1888" s="8" t="s">
        <v>6298</v>
      </c>
      <c r="D1888" s="9" t="s">
        <v>6543</v>
      </c>
      <c r="E1888" s="10" t="str">
        <f>HYPERLINK("https://twitter.com/Ixone_SH/status/1070236350950109185","1070236350950109185")</f>
        <v>1070236350950109185</v>
      </c>
      <c r="F1888" s="11"/>
      <c r="G1888" s="11"/>
      <c r="H1888" s="11"/>
      <c r="I1888" s="12">
        <v>0</v>
      </c>
      <c r="J1888" s="12">
        <v>2</v>
      </c>
      <c r="K1888" s="13" t="str">
        <f>HYPERLINK("http://twitter.com/download/iphone","Twitter for iPhone")</f>
        <v>Twitter for iPhone</v>
      </c>
      <c r="L1888" s="12">
        <v>1644</v>
      </c>
      <c r="M1888" s="12">
        <v>1619</v>
      </c>
      <c r="N1888" s="12">
        <v>58</v>
      </c>
      <c r="O1888" s="14"/>
      <c r="P1888" s="6">
        <v>40303.579594907409</v>
      </c>
      <c r="Q1888" s="15" t="s">
        <v>6300</v>
      </c>
      <c r="R1888" s="17" t="s">
        <v>6301</v>
      </c>
      <c r="S1888" s="11"/>
      <c r="T1888" s="11"/>
      <c r="U1888" s="10" t="str">
        <f>HYPERLINK("https://pbs.twimg.com/profile_images/805796380753199105/svaJgXgK.jpg","View")</f>
        <v>View</v>
      </c>
    </row>
    <row r="1889" spans="1:21" ht="30.6">
      <c r="A1889" s="6">
        <v>43439.402175925927</v>
      </c>
      <c r="B1889" s="7" t="str">
        <f>HYPERLINK("https://twitter.com/Miguel_H_C","@Miguel_H_C")</f>
        <v>@Miguel_H_C</v>
      </c>
      <c r="C1889" s="8" t="s">
        <v>6544</v>
      </c>
      <c r="D1889" s="9" t="s">
        <v>6545</v>
      </c>
      <c r="E1889" s="10" t="str">
        <f>HYPERLINK("https://twitter.com/Miguel_H_C/status/1070236112948482049","1070236112948482049")</f>
        <v>1070236112948482049</v>
      </c>
      <c r="F1889" s="11"/>
      <c r="G1889" s="11"/>
      <c r="H1889" s="11"/>
      <c r="I1889" s="12">
        <v>0</v>
      </c>
      <c r="J1889" s="12">
        <v>1</v>
      </c>
      <c r="K1889" s="13" t="str">
        <f>HYPERLINK("http://twitter.com","Twitter Web Client")</f>
        <v>Twitter Web Client</v>
      </c>
      <c r="L1889" s="12">
        <v>834</v>
      </c>
      <c r="M1889" s="12">
        <v>350</v>
      </c>
      <c r="N1889" s="12">
        <v>8</v>
      </c>
      <c r="O1889" s="14"/>
      <c r="P1889" s="6">
        <v>40816.839016203703</v>
      </c>
      <c r="Q1889" s="15" t="s">
        <v>6546</v>
      </c>
      <c r="R1889" s="18"/>
      <c r="S1889" s="11"/>
      <c r="T1889" s="11"/>
      <c r="U1889" s="10" t="str">
        <f>HYPERLINK("https://pbs.twimg.com/profile_images/997011182736302081/6PYtWK2Y.jpg","View")</f>
        <v>View</v>
      </c>
    </row>
    <row r="1890" spans="1:21" ht="40.799999999999997">
      <c r="A1890" s="6">
        <v>43439.401770833334</v>
      </c>
      <c r="B1890" s="7" t="str">
        <f>HYPERLINK("https://twitter.com/juca221272","@juca221272")</f>
        <v>@juca221272</v>
      </c>
      <c r="C1890" s="8" t="s">
        <v>6547</v>
      </c>
      <c r="D1890" s="9" t="s">
        <v>6548</v>
      </c>
      <c r="E1890" s="10" t="str">
        <f>HYPERLINK("https://twitter.com/juca221272/status/1070235968970592256","1070235968970592256")</f>
        <v>1070235968970592256</v>
      </c>
      <c r="F1890" s="16" t="s">
        <v>6549</v>
      </c>
      <c r="G1890" s="16" t="s">
        <v>6550</v>
      </c>
      <c r="H1890" s="11"/>
      <c r="I1890" s="12">
        <v>27</v>
      </c>
      <c r="J1890" s="12">
        <v>45</v>
      </c>
      <c r="K1890" s="13" t="str">
        <f>HYPERLINK("http://twitter.com/download/android","Twitter for Android")</f>
        <v>Twitter for Android</v>
      </c>
      <c r="L1890" s="12">
        <v>76</v>
      </c>
      <c r="M1890" s="12">
        <v>170</v>
      </c>
      <c r="N1890" s="12">
        <v>9</v>
      </c>
      <c r="O1890" s="14"/>
      <c r="P1890" s="6">
        <v>41743.625462962962</v>
      </c>
      <c r="Q1890" s="11"/>
      <c r="R1890" s="18"/>
      <c r="S1890" s="11"/>
      <c r="T1890" s="11"/>
      <c r="U1890" s="10" t="str">
        <f>HYPERLINK("https://pbs.twimg.com/profile_images/915704098992934912/OsurLYeE.jpg","View")</f>
        <v>View</v>
      </c>
    </row>
    <row r="1891" spans="1:21" ht="71.400000000000006">
      <c r="A1891" s="6">
        <v>43439.401458333334</v>
      </c>
      <c r="B1891" s="7" t="str">
        <f>HYPERLINK("https://twitter.com/unicorntves","@unicorntves")</f>
        <v>@unicorntves</v>
      </c>
      <c r="C1891" s="8" t="s">
        <v>6551</v>
      </c>
      <c r="D1891" s="9" t="s">
        <v>6552</v>
      </c>
      <c r="E1891" s="10" t="str">
        <f>HYPERLINK("https://twitter.com/unicorntves/status/1070235856470990848","1070235856470990848")</f>
        <v>1070235856470990848</v>
      </c>
      <c r="F1891" s="16" t="s">
        <v>6553</v>
      </c>
      <c r="G1891" s="11"/>
      <c r="H1891" s="11"/>
      <c r="I1891" s="12">
        <v>4</v>
      </c>
      <c r="J1891" s="12">
        <v>8</v>
      </c>
      <c r="K1891" s="13" t="str">
        <f>HYPERLINK("http://twitter.com","Twitter Web Client")</f>
        <v>Twitter Web Client</v>
      </c>
      <c r="L1891" s="12">
        <v>694</v>
      </c>
      <c r="M1891" s="12">
        <v>97</v>
      </c>
      <c r="N1891" s="12">
        <v>2</v>
      </c>
      <c r="O1891" s="14"/>
      <c r="P1891" s="6">
        <v>43071.704988425925</v>
      </c>
      <c r="Q1891" s="11"/>
      <c r="R1891" s="17" t="s">
        <v>6554</v>
      </c>
      <c r="S1891" s="16" t="s">
        <v>6555</v>
      </c>
      <c r="T1891" s="11"/>
      <c r="U1891" s="10" t="str">
        <f>HYPERLINK("https://pbs.twimg.com/profile_images/1047808458999910406/X2y37EY9.jpg","View")</f>
        <v>View</v>
      </c>
    </row>
    <row r="1892" spans="1:21" ht="20.399999999999999">
      <c r="A1892" s="6">
        <v>43439.401423611111</v>
      </c>
      <c r="B1892" s="7" t="str">
        <f>HYPERLINK("https://twitter.com/anchoasinespina","@anchoasinespina")</f>
        <v>@anchoasinespina</v>
      </c>
      <c r="C1892" s="8" t="s">
        <v>6556</v>
      </c>
      <c r="D1892" s="9" t="s">
        <v>6557</v>
      </c>
      <c r="E1892" s="10" t="str">
        <f>HYPERLINK("https://twitter.com/anchoasinespina/status/1070235844047446016","1070235844047446016")</f>
        <v>1070235844047446016</v>
      </c>
      <c r="F1892" s="16" t="s">
        <v>6558</v>
      </c>
      <c r="G1892" s="11"/>
      <c r="H1892" s="11"/>
      <c r="I1892" s="12">
        <v>0</v>
      </c>
      <c r="J1892" s="12">
        <v>0</v>
      </c>
      <c r="K1892" s="13" t="str">
        <f t="shared" ref="K1892:K1893" si="419">HYPERLINK("http://twitter.com/download/android","Twitter for Android")</f>
        <v>Twitter for Android</v>
      </c>
      <c r="L1892" s="12">
        <v>100</v>
      </c>
      <c r="M1892" s="12">
        <v>171</v>
      </c>
      <c r="N1892" s="12">
        <v>0</v>
      </c>
      <c r="O1892" s="14"/>
      <c r="P1892" s="6">
        <v>43375.503703703704</v>
      </c>
      <c r="Q1892" s="15" t="s">
        <v>157</v>
      </c>
      <c r="R1892" s="17" t="s">
        <v>6559</v>
      </c>
      <c r="S1892" s="11"/>
      <c r="T1892" s="11"/>
      <c r="U1892" s="10" t="str">
        <f>HYPERLINK("https://pbs.twimg.com/profile_images/1047065134131269632/4YM8XmPc.jpg","View")</f>
        <v>View</v>
      </c>
    </row>
    <row r="1893" spans="1:21" ht="30.6">
      <c r="A1893" s="6">
        <v>43439.401180555556</v>
      </c>
      <c r="B1893" s="7" t="str">
        <f>HYPERLINK("https://twitter.com/SacduMerde","@SacduMerde")</f>
        <v>@SacduMerde</v>
      </c>
      <c r="C1893" s="8" t="s">
        <v>6560</v>
      </c>
      <c r="D1893" s="9" t="s">
        <v>6561</v>
      </c>
      <c r="E1893" s="10" t="str">
        <f>HYPERLINK("https://twitter.com/SacduMerde/status/1070235754662674432","1070235754662674432")</f>
        <v>1070235754662674432</v>
      </c>
      <c r="F1893" s="11"/>
      <c r="G1893" s="11"/>
      <c r="H1893" s="11"/>
      <c r="I1893" s="12">
        <v>0</v>
      </c>
      <c r="J1893" s="12">
        <v>0</v>
      </c>
      <c r="K1893" s="13" t="str">
        <f t="shared" si="419"/>
        <v>Twitter for Android</v>
      </c>
      <c r="L1893" s="12">
        <v>352</v>
      </c>
      <c r="M1893" s="12">
        <v>135</v>
      </c>
      <c r="N1893" s="12">
        <v>24</v>
      </c>
      <c r="O1893" s="14"/>
      <c r="P1893" s="6">
        <v>40701.523564814815</v>
      </c>
      <c r="Q1893" s="11"/>
      <c r="R1893" s="17" t="s">
        <v>6562</v>
      </c>
      <c r="S1893" s="11"/>
      <c r="T1893" s="11"/>
      <c r="U1893" s="10" t="str">
        <f>HYPERLINK("https://pbs.twimg.com/profile_images/446978858219085824/DtSU7uig.jpeg","View")</f>
        <v>View</v>
      </c>
    </row>
    <row r="1894" spans="1:21" ht="40.799999999999997">
      <c r="A1894" s="6">
        <v>43439.401030092587</v>
      </c>
      <c r="B1894" s="7" t="str">
        <f>HYPERLINK("https://twitter.com/OdJordi","@OdJordi")</f>
        <v>@OdJordi</v>
      </c>
      <c r="C1894" s="8" t="s">
        <v>5395</v>
      </c>
      <c r="D1894" s="9" t="s">
        <v>6563</v>
      </c>
      <c r="E1894" s="10" t="str">
        <f>HYPERLINK("https://twitter.com/OdJordi/status/1070235701650825216","1070235701650825216")</f>
        <v>1070235701650825216</v>
      </c>
      <c r="F1894" s="11"/>
      <c r="G1894" s="11"/>
      <c r="H1894" s="11"/>
      <c r="I1894" s="12">
        <v>0</v>
      </c>
      <c r="J1894" s="12">
        <v>2</v>
      </c>
      <c r="K1894" s="13" t="str">
        <f>HYPERLINK("http://twitter.com/download/iphone","Twitter for iPhone")</f>
        <v>Twitter for iPhone</v>
      </c>
      <c r="L1894" s="12">
        <v>137</v>
      </c>
      <c r="M1894" s="12">
        <v>349</v>
      </c>
      <c r="N1894" s="12">
        <v>1</v>
      </c>
      <c r="O1894" s="14"/>
      <c r="P1894" s="6">
        <v>43364.784398148149</v>
      </c>
      <c r="Q1894" s="15" t="s">
        <v>5398</v>
      </c>
      <c r="R1894" s="17" t="s">
        <v>5399</v>
      </c>
      <c r="S1894" s="11"/>
      <c r="T1894" s="11"/>
      <c r="U1894" s="10" t="str">
        <f>HYPERLINK("https://pbs.twimg.com/profile_images/1051850895523278848/MJfJWY0y.jpg","View")</f>
        <v>View</v>
      </c>
    </row>
    <row r="1895" spans="1:21" ht="61.2">
      <c r="A1895" s="6">
        <v>43439.400729166664</v>
      </c>
      <c r="B1895" s="7" t="str">
        <f>HYPERLINK("https://twitter.com/SedeMafia","@SedeMafia")</f>
        <v>@SedeMafia</v>
      </c>
      <c r="C1895" s="8" t="s">
        <v>6433</v>
      </c>
      <c r="D1895" s="9" t="s">
        <v>6564</v>
      </c>
      <c r="E1895" s="10" t="str">
        <f>HYPERLINK("https://twitter.com/SedeMafia/status/1070235591999143936","1070235591999143936")</f>
        <v>1070235591999143936</v>
      </c>
      <c r="F1895" s="11"/>
      <c r="G1895" s="11"/>
      <c r="H1895" s="11"/>
      <c r="I1895" s="12">
        <v>2</v>
      </c>
      <c r="J1895" s="12">
        <v>2</v>
      </c>
      <c r="K1895" s="13" t="str">
        <f>HYPERLINK("http://twitter.com/download/android","Twitter for Android")</f>
        <v>Twitter for Android</v>
      </c>
      <c r="L1895" s="12">
        <v>1504</v>
      </c>
      <c r="M1895" s="12">
        <v>5001</v>
      </c>
      <c r="N1895" s="12">
        <v>3</v>
      </c>
      <c r="O1895" s="14"/>
      <c r="P1895" s="6">
        <v>43078.420937499999</v>
      </c>
      <c r="Q1895" s="11"/>
      <c r="R1895" s="17" t="s">
        <v>6435</v>
      </c>
      <c r="S1895" s="11"/>
      <c r="T1895" s="11"/>
      <c r="U1895" s="10" t="str">
        <f>HYPERLINK("https://pbs.twimg.com/profile_images/942870387335073792/1AtV7RUf.jpg","View")</f>
        <v>View</v>
      </c>
    </row>
    <row r="1896" spans="1:21" ht="51">
      <c r="A1896" s="6">
        <v>43439.400555555556</v>
      </c>
      <c r="B1896" s="7" t="str">
        <f>HYPERLINK("https://twitter.com/PatriciaFdezR","@PatriciaFdezR")</f>
        <v>@PatriciaFdezR</v>
      </c>
      <c r="C1896" s="8" t="s">
        <v>6565</v>
      </c>
      <c r="D1896" s="9" t="s">
        <v>6566</v>
      </c>
      <c r="E1896" s="10" t="str">
        <f>HYPERLINK("https://twitter.com/PatriciaFdezR/status/1070235526047899649","1070235526047899649")</f>
        <v>1070235526047899649</v>
      </c>
      <c r="F1896" s="11"/>
      <c r="G1896" s="11"/>
      <c r="H1896" s="11"/>
      <c r="I1896" s="12">
        <v>0</v>
      </c>
      <c r="J1896" s="12">
        <v>5</v>
      </c>
      <c r="K1896" s="13" t="str">
        <f>HYPERLINK("http://twitter.com/download/iphone","Twitter for iPhone")</f>
        <v>Twitter for iPhone</v>
      </c>
      <c r="L1896" s="12">
        <v>373</v>
      </c>
      <c r="M1896" s="12">
        <v>287</v>
      </c>
      <c r="N1896" s="12">
        <v>4</v>
      </c>
      <c r="O1896" s="14"/>
      <c r="P1896" s="6">
        <v>40679.980833333335</v>
      </c>
      <c r="Q1896" s="11"/>
      <c r="R1896" s="17" t="s">
        <v>6567</v>
      </c>
      <c r="S1896" s="11"/>
      <c r="T1896" s="11"/>
      <c r="U1896" s="10" t="str">
        <f>HYPERLINK("https://pbs.twimg.com/profile_images/743762929422581760/81OmVrUV.jpg","View")</f>
        <v>View</v>
      </c>
    </row>
    <row r="1897" spans="1:21" ht="20.399999999999999">
      <c r="A1897" s="6">
        <v>43439.400520833333</v>
      </c>
      <c r="B1897" s="7" t="str">
        <f>HYPERLINK("https://twitter.com/sannnnnsan","@sannnnnsan")</f>
        <v>@sannnnnsan</v>
      </c>
      <c r="C1897" s="8" t="s">
        <v>6568</v>
      </c>
      <c r="D1897" s="9" t="s">
        <v>6569</v>
      </c>
      <c r="E1897" s="10" t="str">
        <f>HYPERLINK("https://twitter.com/sannnnnsan/status/1070235514584907776","1070235514584907776")</f>
        <v>1070235514584907776</v>
      </c>
      <c r="F1897" s="11"/>
      <c r="G1897" s="11"/>
      <c r="H1897" s="11"/>
      <c r="I1897" s="12">
        <v>0</v>
      </c>
      <c r="J1897" s="12">
        <v>0</v>
      </c>
      <c r="K1897" s="13" t="str">
        <f>HYPERLINK("http://twitter.com/download/android","Twitter for Android")</f>
        <v>Twitter for Android</v>
      </c>
      <c r="L1897" s="12">
        <v>915</v>
      </c>
      <c r="M1897" s="12">
        <v>555</v>
      </c>
      <c r="N1897" s="12">
        <v>15</v>
      </c>
      <c r="O1897" s="14"/>
      <c r="P1897" s="6">
        <v>40908.629502314812</v>
      </c>
      <c r="Q1897" s="15" t="s">
        <v>1048</v>
      </c>
      <c r="R1897" s="17" t="s">
        <v>6570</v>
      </c>
      <c r="S1897" s="16" t="s">
        <v>6571</v>
      </c>
      <c r="T1897" s="11"/>
      <c r="U1897" s="10" t="str">
        <f>HYPERLINK("https://pbs.twimg.com/profile_images/1069911474603220995/msVnk1aP.jpg","View")</f>
        <v>View</v>
      </c>
    </row>
    <row r="1898" spans="1:21" ht="30.6">
      <c r="A1898" s="6">
        <v>43439.400381944448</v>
      </c>
      <c r="B1898" s="7" t="str">
        <f>HYPERLINK("https://twitter.com/Ixone_SH","@Ixone_SH")</f>
        <v>@Ixone_SH</v>
      </c>
      <c r="C1898" s="8" t="s">
        <v>6298</v>
      </c>
      <c r="D1898" s="9" t="s">
        <v>6572</v>
      </c>
      <c r="E1898" s="10" t="str">
        <f>HYPERLINK("https://twitter.com/Ixone_SH/status/1070235465373110272","1070235465373110272")</f>
        <v>1070235465373110272</v>
      </c>
      <c r="F1898" s="11"/>
      <c r="G1898" s="11"/>
      <c r="H1898" s="11"/>
      <c r="I1898" s="12">
        <v>0</v>
      </c>
      <c r="J1898" s="12">
        <v>1</v>
      </c>
      <c r="K1898" s="13" t="str">
        <f t="shared" ref="K1898:K1900" si="420">HYPERLINK("http://twitter.com/download/iphone","Twitter for iPhone")</f>
        <v>Twitter for iPhone</v>
      </c>
      <c r="L1898" s="12">
        <v>1644</v>
      </c>
      <c r="M1898" s="12">
        <v>1619</v>
      </c>
      <c r="N1898" s="12">
        <v>58</v>
      </c>
      <c r="O1898" s="14"/>
      <c r="P1898" s="6">
        <v>40303.579594907409</v>
      </c>
      <c r="Q1898" s="15" t="s">
        <v>6300</v>
      </c>
      <c r="R1898" s="17" t="s">
        <v>6301</v>
      </c>
      <c r="S1898" s="11"/>
      <c r="T1898" s="11"/>
      <c r="U1898" s="10" t="str">
        <f>HYPERLINK("https://pbs.twimg.com/profile_images/805796380753199105/svaJgXgK.jpg","View")</f>
        <v>View</v>
      </c>
    </row>
    <row r="1899" spans="1:21" ht="40.799999999999997">
      <c r="A1899" s="6">
        <v>43439.400219907402</v>
      </c>
      <c r="B1899" s="7" t="str">
        <f>HYPERLINK("https://twitter.com/Alejandra_cocaa","@Alejandra_cocaa")</f>
        <v>@Alejandra_cocaa</v>
      </c>
      <c r="C1899" s="8" t="s">
        <v>6573</v>
      </c>
      <c r="D1899" s="9" t="s">
        <v>6574</v>
      </c>
      <c r="E1899" s="10" t="str">
        <f>HYPERLINK("https://twitter.com/Alejandra_cocaa/status/1070235405566533632","1070235405566533632")</f>
        <v>1070235405566533632</v>
      </c>
      <c r="F1899" s="11"/>
      <c r="G1899" s="11"/>
      <c r="H1899" s="11"/>
      <c r="I1899" s="12">
        <v>1</v>
      </c>
      <c r="J1899" s="12">
        <v>2</v>
      </c>
      <c r="K1899" s="13" t="str">
        <f t="shared" si="420"/>
        <v>Twitter for iPhone</v>
      </c>
      <c r="L1899" s="12">
        <v>65</v>
      </c>
      <c r="M1899" s="12">
        <v>121</v>
      </c>
      <c r="N1899" s="12">
        <v>3</v>
      </c>
      <c r="O1899" s="14"/>
      <c r="P1899" s="6">
        <v>42646.043553240743</v>
      </c>
      <c r="Q1899" s="15" t="s">
        <v>157</v>
      </c>
      <c r="R1899" s="17" t="s">
        <v>6575</v>
      </c>
      <c r="S1899" s="11"/>
      <c r="T1899" s="11"/>
      <c r="U1899" s="10" t="str">
        <f>HYPERLINK("https://pbs.twimg.com/profile_images/1001615849797627904/Ibdxu18q.jpg","View")</f>
        <v>View</v>
      </c>
    </row>
    <row r="1900" spans="1:21" ht="40.799999999999997">
      <c r="A1900" s="6">
        <v>43439.399467592593</v>
      </c>
      <c r="B1900" s="7" t="str">
        <f>HYPERLINK("https://twitter.com/PARTIDO_ESP_DES","@PARTIDO_ESP_DES")</f>
        <v>@PARTIDO_ESP_DES</v>
      </c>
      <c r="C1900" s="8" t="s">
        <v>6576</v>
      </c>
      <c r="D1900" s="9" t="s">
        <v>6577</v>
      </c>
      <c r="E1900" s="10" t="str">
        <f>HYPERLINK("https://twitter.com/PARTIDO_ESP_DES/status/1070235132253085697","1070235132253085697")</f>
        <v>1070235132253085697</v>
      </c>
      <c r="F1900" s="11"/>
      <c r="G1900" s="11"/>
      <c r="H1900" s="11"/>
      <c r="I1900" s="12">
        <v>10</v>
      </c>
      <c r="J1900" s="12">
        <v>15</v>
      </c>
      <c r="K1900" s="13" t="str">
        <f t="shared" si="420"/>
        <v>Twitter for iPhone</v>
      </c>
      <c r="L1900" s="12">
        <v>874</v>
      </c>
      <c r="M1900" s="12">
        <v>771</v>
      </c>
      <c r="N1900" s="12">
        <v>3</v>
      </c>
      <c r="O1900" s="14"/>
      <c r="P1900" s="6">
        <v>43040.91196759259</v>
      </c>
      <c r="Q1900" s="15" t="s">
        <v>197</v>
      </c>
      <c r="R1900" s="17" t="s">
        <v>6578</v>
      </c>
      <c r="S1900" s="11"/>
      <c r="T1900" s="11"/>
      <c r="U1900" s="10" t="str">
        <f>HYPERLINK("https://pbs.twimg.com/profile_images/925830634274246657/gV2vs8zN.jpg","View")</f>
        <v>View</v>
      </c>
    </row>
    <row r="1901" spans="1:21" ht="51">
      <c r="A1901" s="6">
        <v>43439.399386574078</v>
      </c>
      <c r="B1901" s="7" t="str">
        <f>HYPERLINK("https://twitter.com/diariobalear_es","@diariobalear_es")</f>
        <v>@diariobalear_es</v>
      </c>
      <c r="C1901" s="8" t="s">
        <v>2163</v>
      </c>
      <c r="D1901" s="9" t="s">
        <v>6579</v>
      </c>
      <c r="E1901" s="10" t="str">
        <f>HYPERLINK("https://twitter.com/diariobalear_es/status/1070235105963204608","1070235105963204608")</f>
        <v>1070235105963204608</v>
      </c>
      <c r="F1901" s="16" t="s">
        <v>6580</v>
      </c>
      <c r="G1901" s="11"/>
      <c r="H1901" s="11"/>
      <c r="I1901" s="12">
        <v>5</v>
      </c>
      <c r="J1901" s="12">
        <v>12</v>
      </c>
      <c r="K1901" s="13" t="str">
        <f>HYPERLINK("http://twitter.com","Twitter Web Client")</f>
        <v>Twitter Web Client</v>
      </c>
      <c r="L1901" s="12">
        <v>3223</v>
      </c>
      <c r="M1901" s="12">
        <v>347</v>
      </c>
      <c r="N1901" s="12">
        <v>71</v>
      </c>
      <c r="O1901" s="14"/>
      <c r="P1901" s="6">
        <v>41694.754687499997</v>
      </c>
      <c r="Q1901" s="15" t="s">
        <v>2166</v>
      </c>
      <c r="R1901" s="17" t="s">
        <v>2167</v>
      </c>
      <c r="S1901" s="16" t="s">
        <v>2168</v>
      </c>
      <c r="T1901" s="11"/>
      <c r="U1901" s="10" t="str">
        <f>HYPERLINK("https://pbs.twimg.com/profile_images/992417277797597184/28OVRjFF.jpg","View")</f>
        <v>View</v>
      </c>
    </row>
    <row r="1902" spans="1:21" ht="40.799999999999997">
      <c r="A1902" s="6">
        <v>43439.399340277778</v>
      </c>
      <c r="B1902" s="7" t="str">
        <f>HYPERLINK("https://twitter.com/jaumeors","@jaumeors")</f>
        <v>@jaumeors</v>
      </c>
      <c r="C1902" s="8" t="s">
        <v>6581</v>
      </c>
      <c r="D1902" s="9" t="s">
        <v>6582</v>
      </c>
      <c r="E1902" s="10" t="str">
        <f>HYPERLINK("https://twitter.com/jaumeors/status/1070235086396776448","1070235086396776448")</f>
        <v>1070235086396776448</v>
      </c>
      <c r="F1902" s="11"/>
      <c r="G1902" s="11"/>
      <c r="H1902" s="11"/>
      <c r="I1902" s="12">
        <v>2</v>
      </c>
      <c r="J1902" s="12">
        <v>1</v>
      </c>
      <c r="K1902" s="13" t="str">
        <f t="shared" ref="K1902:K1903" si="421">HYPERLINK("http://twitter.com/download/android","Twitter for Android")</f>
        <v>Twitter for Android</v>
      </c>
      <c r="L1902" s="12">
        <v>2352</v>
      </c>
      <c r="M1902" s="12">
        <v>1760</v>
      </c>
      <c r="N1902" s="12">
        <v>35</v>
      </c>
      <c r="O1902" s="14"/>
      <c r="P1902" s="6">
        <v>40804.792037037041</v>
      </c>
      <c r="Q1902" s="15" t="s">
        <v>986</v>
      </c>
      <c r="R1902" s="17" t="s">
        <v>6583</v>
      </c>
      <c r="S1902" s="11"/>
      <c r="T1902" s="11"/>
      <c r="U1902" s="10" t="str">
        <f>HYPERLINK("https://pbs.twimg.com/profile_images/1070856399289225217/TWix4zbV.jpg","View")</f>
        <v>View</v>
      </c>
    </row>
    <row r="1903" spans="1:21" ht="51">
      <c r="A1903" s="6">
        <v>43439.399224537032</v>
      </c>
      <c r="B1903" s="7" t="str">
        <f>HYPERLINK("https://twitter.com/SusaBaz","@SusaBaz")</f>
        <v>@SusaBaz</v>
      </c>
      <c r="C1903" s="8" t="s">
        <v>6584</v>
      </c>
      <c r="D1903" s="9" t="s">
        <v>6585</v>
      </c>
      <c r="E1903" s="10" t="str">
        <f>HYPERLINK("https://twitter.com/SusaBaz/status/1070235045183610880","1070235045183610880")</f>
        <v>1070235045183610880</v>
      </c>
      <c r="F1903" s="11"/>
      <c r="G1903" s="11"/>
      <c r="H1903" s="11"/>
      <c r="I1903" s="12">
        <v>0</v>
      </c>
      <c r="J1903" s="12">
        <v>0</v>
      </c>
      <c r="K1903" s="13" t="str">
        <f t="shared" si="421"/>
        <v>Twitter for Android</v>
      </c>
      <c r="L1903" s="12">
        <v>361</v>
      </c>
      <c r="M1903" s="12">
        <v>403</v>
      </c>
      <c r="N1903" s="12">
        <v>11</v>
      </c>
      <c r="O1903" s="14"/>
      <c r="P1903" s="6">
        <v>40106.127685185187</v>
      </c>
      <c r="Q1903" s="15" t="s">
        <v>197</v>
      </c>
      <c r="R1903" s="18"/>
      <c r="S1903" s="11"/>
      <c r="T1903" s="11"/>
      <c r="U1903" s="10" t="str">
        <f>HYPERLINK("https://pbs.twimg.com/profile_images/864947702974623749/trzxWXSS.jpg","View")</f>
        <v>View</v>
      </c>
    </row>
    <row r="1904" spans="1:21" ht="30.6">
      <c r="A1904" s="6">
        <v>43439.39912037037</v>
      </c>
      <c r="B1904" s="7" t="str">
        <f>HYPERLINK("https://twitter.com/JLZamarriego","@JLZamarriego")</f>
        <v>@JLZamarriego</v>
      </c>
      <c r="C1904" s="8" t="s">
        <v>6586</v>
      </c>
      <c r="D1904" s="9" t="s">
        <v>6587</v>
      </c>
      <c r="E1904" s="10" t="str">
        <f>HYPERLINK("https://twitter.com/JLZamarriego/status/1070235009192222723","1070235009192222723")</f>
        <v>1070235009192222723</v>
      </c>
      <c r="F1904" s="11"/>
      <c r="G1904" s="11"/>
      <c r="H1904" s="11"/>
      <c r="I1904" s="12">
        <v>0</v>
      </c>
      <c r="J1904" s="12">
        <v>0</v>
      </c>
      <c r="K1904" s="13" t="str">
        <f>HYPERLINK("http://twitter.com/#!/download/ipad","Twitter for iPad")</f>
        <v>Twitter for iPad</v>
      </c>
      <c r="L1904" s="12">
        <v>868</v>
      </c>
      <c r="M1904" s="12">
        <v>218</v>
      </c>
      <c r="N1904" s="12">
        <v>21</v>
      </c>
      <c r="O1904" s="14"/>
      <c r="P1904" s="6">
        <v>40313.108090277776</v>
      </c>
      <c r="Q1904" s="15" t="s">
        <v>197</v>
      </c>
      <c r="R1904" s="17" t="s">
        <v>6588</v>
      </c>
      <c r="S1904" s="11"/>
      <c r="T1904" s="11"/>
      <c r="U1904" s="10" t="str">
        <f>HYPERLINK("https://pbs.twimg.com/profile_images/747192944290107392/YTSGiyZ0.jpg","View")</f>
        <v>View</v>
      </c>
    </row>
    <row r="1905" spans="1:21" ht="40.799999999999997">
      <c r="A1905" s="6">
        <v>43439.399027777778</v>
      </c>
      <c r="B1905" s="7" t="str">
        <f>HYPERLINK("https://twitter.com/merece_saberlo","@merece_saberlo")</f>
        <v>@merece_saberlo</v>
      </c>
      <c r="C1905" s="8" t="s">
        <v>5539</v>
      </c>
      <c r="D1905" s="9" t="s">
        <v>6589</v>
      </c>
      <c r="E1905" s="10" t="str">
        <f>HYPERLINK("https://twitter.com/merece_saberlo/status/1070234972420755456","1070234972420755456")</f>
        <v>1070234972420755456</v>
      </c>
      <c r="F1905" s="16" t="s">
        <v>6590</v>
      </c>
      <c r="G1905" s="11"/>
      <c r="H1905" s="11"/>
      <c r="I1905" s="12">
        <v>53</v>
      </c>
      <c r="J1905" s="12">
        <v>69</v>
      </c>
      <c r="K1905" s="13" t="str">
        <f>HYPERLINK("http://twitter.com","Twitter Web Client")</f>
        <v>Twitter Web Client</v>
      </c>
      <c r="L1905" s="12">
        <v>22103</v>
      </c>
      <c r="M1905" s="12">
        <v>7938</v>
      </c>
      <c r="N1905" s="12">
        <v>78</v>
      </c>
      <c r="O1905" s="14"/>
      <c r="P1905" s="6">
        <v>41621.703750000001</v>
      </c>
      <c r="Q1905" s="15" t="s">
        <v>197</v>
      </c>
      <c r="R1905" s="17" t="s">
        <v>5542</v>
      </c>
      <c r="S1905" s="16" t="s">
        <v>5543</v>
      </c>
      <c r="T1905" s="11"/>
      <c r="U1905" s="10" t="str">
        <f>HYPERLINK("https://pbs.twimg.com/profile_images/1018102856044503040/AwEEsMyt.jpg","View")</f>
        <v>View</v>
      </c>
    </row>
    <row r="1906" spans="1:21" ht="30.6">
      <c r="A1906" s="6">
        <v>43439.398668981477</v>
      </c>
      <c r="B1906" s="7" t="str">
        <f>HYPERLINK("https://twitter.com/PeGeCe72","@PeGeCe72")</f>
        <v>@PeGeCe72</v>
      </c>
      <c r="C1906" s="8" t="s">
        <v>6528</v>
      </c>
      <c r="D1906" s="9" t="s">
        <v>6591</v>
      </c>
      <c r="E1906" s="10" t="str">
        <f>HYPERLINK("https://twitter.com/PeGeCe72/status/1070234844037287936","1070234844037287936")</f>
        <v>1070234844037287936</v>
      </c>
      <c r="F1906" s="11"/>
      <c r="G1906" s="11"/>
      <c r="H1906" s="11"/>
      <c r="I1906" s="12">
        <v>1</v>
      </c>
      <c r="J1906" s="12">
        <v>2</v>
      </c>
      <c r="K1906" s="13" t="str">
        <f>HYPERLINK("http://twitter.com/download/android","Twitter for Android")</f>
        <v>Twitter for Android</v>
      </c>
      <c r="L1906" s="12">
        <v>161</v>
      </c>
      <c r="M1906" s="12">
        <v>193</v>
      </c>
      <c r="N1906" s="12">
        <v>0</v>
      </c>
      <c r="O1906" s="14"/>
      <c r="P1906" s="6">
        <v>43367.735046296293</v>
      </c>
      <c r="Q1906" s="11"/>
      <c r="R1906" s="17" t="s">
        <v>6530</v>
      </c>
      <c r="S1906" s="11"/>
      <c r="T1906" s="11"/>
      <c r="U1906" s="10" t="str">
        <f>HYPERLINK("https://pbs.twimg.com/profile_images/1070650020565786629/9I6l_W3V.jpg","View")</f>
        <v>View</v>
      </c>
    </row>
    <row r="1907" spans="1:21" ht="40.799999999999997">
      <c r="A1907" s="6">
        <v>43439.398263888885</v>
      </c>
      <c r="B1907" s="7" t="str">
        <f>HYPERLINK("https://twitter.com/JoseMari2013","@JoseMari2013")</f>
        <v>@JoseMari2013</v>
      </c>
      <c r="C1907" s="8" t="s">
        <v>6499</v>
      </c>
      <c r="D1907" s="9" t="s">
        <v>6592</v>
      </c>
      <c r="E1907" s="10" t="str">
        <f>HYPERLINK("https://twitter.com/JoseMari2013/status/1070234696540438528","1070234696540438528")</f>
        <v>1070234696540438528</v>
      </c>
      <c r="F1907" s="11"/>
      <c r="G1907" s="11"/>
      <c r="H1907" s="11"/>
      <c r="I1907" s="12">
        <v>0</v>
      </c>
      <c r="J1907" s="12">
        <v>0</v>
      </c>
      <c r="K1907" s="13" t="str">
        <f>HYPERLINK("http://twitter.com","Twitter Web Client")</f>
        <v>Twitter Web Client</v>
      </c>
      <c r="L1907" s="12">
        <v>974</v>
      </c>
      <c r="M1907" s="12">
        <v>2121</v>
      </c>
      <c r="N1907" s="12">
        <v>8</v>
      </c>
      <c r="O1907" s="14"/>
      <c r="P1907" s="6">
        <v>41314.223946759259</v>
      </c>
      <c r="Q1907" s="15" t="s">
        <v>1192</v>
      </c>
      <c r="R1907" s="17" t="s">
        <v>6501</v>
      </c>
      <c r="S1907" s="11"/>
      <c r="T1907" s="11"/>
      <c r="U1907" s="10" t="str">
        <f>HYPERLINK("https://pbs.twimg.com/profile_images/1028985661255311361/jihgIJSz.jpg","View")</f>
        <v>View</v>
      </c>
    </row>
    <row r="1908" spans="1:21" ht="30.6">
      <c r="A1908" s="6">
        <v>43439.397812499999</v>
      </c>
      <c r="B1908" s="7" t="str">
        <f>HYPERLINK("https://twitter.com/Ixone_SH","@Ixone_SH")</f>
        <v>@Ixone_SH</v>
      </c>
      <c r="C1908" s="8" t="s">
        <v>6298</v>
      </c>
      <c r="D1908" s="9" t="s">
        <v>6593</v>
      </c>
      <c r="E1908" s="10" t="str">
        <f>HYPERLINK("https://twitter.com/Ixone_SH/status/1070234534040473600","1070234534040473600")</f>
        <v>1070234534040473600</v>
      </c>
      <c r="F1908" s="11"/>
      <c r="G1908" s="11"/>
      <c r="H1908" s="11"/>
      <c r="I1908" s="12">
        <v>1</v>
      </c>
      <c r="J1908" s="12">
        <v>3</v>
      </c>
      <c r="K1908" s="13" t="str">
        <f>HYPERLINK("http://twitter.com/download/iphone","Twitter for iPhone")</f>
        <v>Twitter for iPhone</v>
      </c>
      <c r="L1908" s="12">
        <v>1644</v>
      </c>
      <c r="M1908" s="12">
        <v>1619</v>
      </c>
      <c r="N1908" s="12">
        <v>58</v>
      </c>
      <c r="O1908" s="14"/>
      <c r="P1908" s="6">
        <v>40303.579594907409</v>
      </c>
      <c r="Q1908" s="15" t="s">
        <v>6300</v>
      </c>
      <c r="R1908" s="17" t="s">
        <v>6301</v>
      </c>
      <c r="S1908" s="11"/>
      <c r="T1908" s="11"/>
      <c r="U1908" s="10" t="str">
        <f>HYPERLINK("https://pbs.twimg.com/profile_images/805796380753199105/svaJgXgK.jpg","View")</f>
        <v>View</v>
      </c>
    </row>
    <row r="1909" spans="1:21" ht="30.6">
      <c r="A1909" s="6">
        <v>43439.397604166668</v>
      </c>
      <c r="B1909" s="7" t="str">
        <f>HYPERLINK("https://twitter.com/VoxElena","@VoxElena")</f>
        <v>@VoxElena</v>
      </c>
      <c r="C1909" s="8" t="s">
        <v>6594</v>
      </c>
      <c r="D1909" s="9" t="s">
        <v>6595</v>
      </c>
      <c r="E1909" s="10" t="str">
        <f>HYPERLINK("https://twitter.com/VoxElena/status/1070234457678987265","1070234457678987265")</f>
        <v>1070234457678987265</v>
      </c>
      <c r="F1909" s="11"/>
      <c r="G1909" s="11"/>
      <c r="H1909" s="11"/>
      <c r="I1909" s="12">
        <v>0</v>
      </c>
      <c r="J1909" s="12">
        <v>0</v>
      </c>
      <c r="K1909" s="13" t="str">
        <f>HYPERLINK("http://twitter.com/download/android","Twitter for Android")</f>
        <v>Twitter for Android</v>
      </c>
      <c r="L1909" s="12">
        <v>494</v>
      </c>
      <c r="M1909" s="12">
        <v>365</v>
      </c>
      <c r="N1909" s="12">
        <v>1</v>
      </c>
      <c r="O1909" s="14"/>
      <c r="P1909" s="6">
        <v>43263.795590277776</v>
      </c>
      <c r="Q1909" s="15" t="s">
        <v>197</v>
      </c>
      <c r="R1909" s="17" t="s">
        <v>6596</v>
      </c>
      <c r="S1909" s="11"/>
      <c r="T1909" s="11"/>
      <c r="U1909" s="10" t="str">
        <f>HYPERLINK("https://pbs.twimg.com/profile_images/1006583990256570368/U_guKTUy.jpg","View")</f>
        <v>View</v>
      </c>
    </row>
    <row r="1910" spans="1:21" ht="30.6">
      <c r="A1910" s="6">
        <v>43439.397337962961</v>
      </c>
      <c r="B1910" s="7" t="str">
        <f>HYPERLINK("https://twitter.com/chachacha_p3","@chachacha_p3")</f>
        <v>@chachacha_p3</v>
      </c>
      <c r="C1910" s="8" t="s">
        <v>6597</v>
      </c>
      <c r="D1910" s="9" t="s">
        <v>6598</v>
      </c>
      <c r="E1910" s="10" t="str">
        <f>HYPERLINK("https://twitter.com/chachacha_p3/status/1070234362334117888","1070234362334117888")</f>
        <v>1070234362334117888</v>
      </c>
      <c r="F1910" s="11"/>
      <c r="G1910" s="16" t="s">
        <v>6599</v>
      </c>
      <c r="H1910" s="11"/>
      <c r="I1910" s="12">
        <v>0</v>
      </c>
      <c r="J1910" s="12">
        <v>0</v>
      </c>
      <c r="K1910" s="13" t="str">
        <f>HYPERLINK("http://twitter.com/download/iphone","Twitter for iPhone")</f>
        <v>Twitter for iPhone</v>
      </c>
      <c r="L1910" s="12">
        <v>3489</v>
      </c>
      <c r="M1910" s="12">
        <v>4034</v>
      </c>
      <c r="N1910" s="12">
        <v>58</v>
      </c>
      <c r="O1910" s="14"/>
      <c r="P1910" s="6">
        <v>40310.734363425923</v>
      </c>
      <c r="Q1910" s="15" t="s">
        <v>3836</v>
      </c>
      <c r="R1910" s="18"/>
      <c r="S1910" s="11"/>
      <c r="T1910" s="11"/>
      <c r="U1910" s="10" t="str">
        <f>HYPERLINK("https://pbs.twimg.com/profile_images/983220282080026625/_0TIXmxn.jpg","View")</f>
        <v>View</v>
      </c>
    </row>
    <row r="1911" spans="1:21" ht="61.2">
      <c r="A1911" s="6">
        <v>43439.396932870368</v>
      </c>
      <c r="B1911" s="7" t="str">
        <f>HYPERLINK("https://twitter.com/CASADELABONO","@CASADELABONO")</f>
        <v>@CASADELABONO</v>
      </c>
      <c r="C1911" s="8" t="s">
        <v>6600</v>
      </c>
      <c r="D1911" s="9" t="s">
        <v>6601</v>
      </c>
      <c r="E1911" s="10" t="str">
        <f>HYPERLINK("https://twitter.com/CASADELABONO/status/1070234216376471553","1070234216376471553")</f>
        <v>1070234216376471553</v>
      </c>
      <c r="F1911" s="11"/>
      <c r="G1911" s="11"/>
      <c r="H1911" s="11"/>
      <c r="I1911" s="12">
        <v>0</v>
      </c>
      <c r="J1911" s="12">
        <v>0</v>
      </c>
      <c r="K1911" s="13" t="str">
        <f>HYPERLINK("http://twitter.com/download/android","Twitter for Android")</f>
        <v>Twitter for Android</v>
      </c>
      <c r="L1911" s="12">
        <v>55</v>
      </c>
      <c r="M1911" s="12">
        <v>173</v>
      </c>
      <c r="N1911" s="12">
        <v>2</v>
      </c>
      <c r="O1911" s="14"/>
      <c r="P1911" s="6">
        <v>41394.570416666669</v>
      </c>
      <c r="Q1911" s="11"/>
      <c r="R1911" s="18"/>
      <c r="S1911" s="11"/>
      <c r="T1911" s="11"/>
      <c r="U1911" s="10" t="str">
        <f>HYPERLINK("https://pbs.twimg.com/profile_images/854383143117361152/uYDwD3Bo.jpg","View")</f>
        <v>View</v>
      </c>
    </row>
    <row r="1912" spans="1:21" ht="40.799999999999997">
      <c r="A1912" s="6">
        <v>43439.396701388891</v>
      </c>
      <c r="B1912" s="7" t="str">
        <f>HYPERLINK("https://twitter.com/EloCampillo","@EloCampillo")</f>
        <v>@EloCampillo</v>
      </c>
      <c r="C1912" s="8" t="s">
        <v>6602</v>
      </c>
      <c r="D1912" s="9" t="s">
        <v>6603</v>
      </c>
      <c r="E1912" s="10" t="str">
        <f>HYPERLINK("https://twitter.com/EloCampillo/status/1070234132540784645","1070234132540784645")</f>
        <v>1070234132540784645</v>
      </c>
      <c r="F1912" s="11"/>
      <c r="G1912" s="11"/>
      <c r="H1912" s="11"/>
      <c r="I1912" s="12">
        <v>0</v>
      </c>
      <c r="J1912" s="12">
        <v>1</v>
      </c>
      <c r="K1912" s="13" t="str">
        <f>HYPERLINK("http://twitter.com/download/iphone","Twitter for iPhone")</f>
        <v>Twitter for iPhone</v>
      </c>
      <c r="L1912" s="12">
        <v>651</v>
      </c>
      <c r="M1912" s="12">
        <v>483</v>
      </c>
      <c r="N1912" s="12">
        <v>1</v>
      </c>
      <c r="O1912" s="14"/>
      <c r="P1912" s="6">
        <v>41047.72315972222</v>
      </c>
      <c r="Q1912" s="11"/>
      <c r="R1912" s="17" t="s">
        <v>6604</v>
      </c>
      <c r="S1912" s="11"/>
      <c r="T1912" s="11"/>
      <c r="U1912" s="10" t="str">
        <f>HYPERLINK("https://pbs.twimg.com/profile_images/1064517840282288129/l7q_OSem.jpg","View")</f>
        <v>View</v>
      </c>
    </row>
    <row r="1913" spans="1:21" ht="20.399999999999999">
      <c r="A1913" s="6">
        <v>43439.396666666667</v>
      </c>
      <c r="B1913" s="7" t="str">
        <f>HYPERLINK("https://twitter.com/Arezno","@Arezno")</f>
        <v>@Arezno</v>
      </c>
      <c r="C1913" s="8" t="s">
        <v>6605</v>
      </c>
      <c r="D1913" s="9" t="s">
        <v>6606</v>
      </c>
      <c r="E1913" s="10" t="str">
        <f>HYPERLINK("https://twitter.com/Arezno/status/1070234119253213184","1070234119253213184")</f>
        <v>1070234119253213184</v>
      </c>
      <c r="F1913" s="11"/>
      <c r="G1913" s="16" t="s">
        <v>6607</v>
      </c>
      <c r="H1913" s="11"/>
      <c r="I1913" s="12">
        <v>94</v>
      </c>
      <c r="J1913" s="12">
        <v>310</v>
      </c>
      <c r="K1913" s="13" t="str">
        <f>HYPERLINK("http://twitter.com/download/android","Twitter for Android")</f>
        <v>Twitter for Android</v>
      </c>
      <c r="L1913" s="12">
        <v>51739</v>
      </c>
      <c r="M1913" s="12">
        <v>1988</v>
      </c>
      <c r="N1913" s="12">
        <v>1208</v>
      </c>
      <c r="O1913" s="14"/>
      <c r="P1913" s="6">
        <v>39593.610243055555</v>
      </c>
      <c r="Q1913" s="15" t="s">
        <v>6608</v>
      </c>
      <c r="R1913" s="17" t="s">
        <v>6609</v>
      </c>
      <c r="S1913" s="16" t="s">
        <v>6610</v>
      </c>
      <c r="T1913" s="11"/>
      <c r="U1913" s="10" t="str">
        <f>HYPERLINK("https://pbs.twimg.com/profile_images/892420921042055170/muiAu5BI.jpg","View")</f>
        <v>View</v>
      </c>
    </row>
    <row r="1914" spans="1:21" ht="40.799999999999997">
      <c r="A1914" s="6">
        <v>43439.396597222221</v>
      </c>
      <c r="B1914" s="7" t="str">
        <f>HYPERLINK("https://twitter.com/davalderrama","@davalderrama")</f>
        <v>@davalderrama</v>
      </c>
      <c r="C1914" s="8" t="s">
        <v>6611</v>
      </c>
      <c r="D1914" s="9" t="s">
        <v>6612</v>
      </c>
      <c r="E1914" s="10" t="str">
        <f>HYPERLINK("https://twitter.com/davalderrama/status/1070234094120906752","1070234094120906752")</f>
        <v>1070234094120906752</v>
      </c>
      <c r="F1914" s="16" t="s">
        <v>6613</v>
      </c>
      <c r="G1914" s="11"/>
      <c r="H1914" s="11"/>
      <c r="I1914" s="12">
        <v>4</v>
      </c>
      <c r="J1914" s="12">
        <v>1</v>
      </c>
      <c r="K1914" s="13" t="str">
        <f>HYPERLINK("http://twitter.com","Twitter Web Client")</f>
        <v>Twitter Web Client</v>
      </c>
      <c r="L1914" s="12">
        <v>1873</v>
      </c>
      <c r="M1914" s="12">
        <v>2082</v>
      </c>
      <c r="N1914" s="12">
        <v>44</v>
      </c>
      <c r="O1914" s="14"/>
      <c r="P1914" s="6">
        <v>40617.720231481479</v>
      </c>
      <c r="Q1914" s="15" t="s">
        <v>6614</v>
      </c>
      <c r="R1914" s="17" t="s">
        <v>6615</v>
      </c>
      <c r="S1914" s="11"/>
      <c r="T1914" s="11"/>
      <c r="U1914" s="10" t="str">
        <f>HYPERLINK("https://pbs.twimg.com/profile_images/714370694889541633/nUnaUK5t.jpg","View")</f>
        <v>View</v>
      </c>
    </row>
    <row r="1915" spans="1:21" ht="51">
      <c r="A1915" s="6">
        <v>43439.395972222221</v>
      </c>
      <c r="B1915" s="7" t="str">
        <f>HYPERLINK("https://twitter.com/Chusbrave","@Chusbrave")</f>
        <v>@Chusbrave</v>
      </c>
      <c r="C1915" s="8" t="s">
        <v>4749</v>
      </c>
      <c r="D1915" s="9" t="s">
        <v>6616</v>
      </c>
      <c r="E1915" s="10" t="str">
        <f>HYPERLINK("https://twitter.com/Chusbrave/status/1070233866387025920","1070233866387025920")</f>
        <v>1070233866387025920</v>
      </c>
      <c r="F1915" s="16" t="s">
        <v>6617</v>
      </c>
      <c r="G1915" s="16" t="s">
        <v>6618</v>
      </c>
      <c r="H1915" s="11"/>
      <c r="I1915" s="12">
        <v>0</v>
      </c>
      <c r="J1915" s="12">
        <v>0</v>
      </c>
      <c r="K1915" s="13" t="str">
        <f t="shared" ref="K1915:K1916" si="422">HYPERLINK("http://twitter.com/download/iphone","Twitter for iPhone")</f>
        <v>Twitter for iPhone</v>
      </c>
      <c r="L1915" s="12">
        <v>325</v>
      </c>
      <c r="M1915" s="12">
        <v>355</v>
      </c>
      <c r="N1915" s="12">
        <v>7</v>
      </c>
      <c r="O1915" s="14"/>
      <c r="P1915" s="6">
        <v>40855.030833333338</v>
      </c>
      <c r="Q1915" s="15" t="s">
        <v>612</v>
      </c>
      <c r="R1915" s="17" t="s">
        <v>4752</v>
      </c>
      <c r="S1915" s="11"/>
      <c r="T1915" s="11"/>
      <c r="U1915" s="10" t="str">
        <f>HYPERLINK("https://pbs.twimg.com/profile_images/1649077231/twitter.JPG","View")</f>
        <v>View</v>
      </c>
    </row>
    <row r="1916" spans="1:21" ht="71.400000000000006">
      <c r="A1916" s="6">
        <v>43439.395023148143</v>
      </c>
      <c r="B1916" s="7" t="str">
        <f>HYPERLINK("https://twitter.com/ASRphotographer","@ASRphotographer")</f>
        <v>@ASRphotographer</v>
      </c>
      <c r="C1916" s="8" t="s">
        <v>2463</v>
      </c>
      <c r="D1916" s="9" t="s">
        <v>6619</v>
      </c>
      <c r="E1916" s="10" t="str">
        <f>HYPERLINK("https://twitter.com/ASRphotographer/status/1070233523062300673","1070233523062300673")</f>
        <v>1070233523062300673</v>
      </c>
      <c r="F1916" s="16" t="s">
        <v>6620</v>
      </c>
      <c r="G1916" s="16" t="s">
        <v>6621</v>
      </c>
      <c r="H1916" s="11"/>
      <c r="I1916" s="12">
        <v>17</v>
      </c>
      <c r="J1916" s="12">
        <v>42</v>
      </c>
      <c r="K1916" s="13" t="str">
        <f t="shared" si="422"/>
        <v>Twitter for iPhone</v>
      </c>
      <c r="L1916" s="12">
        <v>921</v>
      </c>
      <c r="M1916" s="12">
        <v>480</v>
      </c>
      <c r="N1916" s="12">
        <v>26</v>
      </c>
      <c r="O1916" s="14"/>
      <c r="P1916" s="6">
        <v>40831.883402777778</v>
      </c>
      <c r="Q1916" s="15" t="s">
        <v>612</v>
      </c>
      <c r="R1916" s="17" t="s">
        <v>2465</v>
      </c>
      <c r="S1916" s="11"/>
      <c r="T1916" s="11"/>
      <c r="U1916" s="10" t="str">
        <f>HYPERLINK("https://pbs.twimg.com/profile_images/1053303274894430208/EEEfljQI.jpg","View")</f>
        <v>View</v>
      </c>
    </row>
    <row r="1917" spans="1:21" ht="20.399999999999999">
      <c r="A1917" s="6">
        <v>43439.394918981481</v>
      </c>
      <c r="B1917" s="7" t="str">
        <f>HYPERLINK("https://twitter.com/srtahope1","@srtahope1")</f>
        <v>@srtahope1</v>
      </c>
      <c r="C1917" s="8" t="s">
        <v>6622</v>
      </c>
      <c r="D1917" s="9" t="s">
        <v>6623</v>
      </c>
      <c r="E1917" s="10" t="str">
        <f>HYPERLINK("https://twitter.com/srtahope1/status/1070233485934235648","1070233485934235648")</f>
        <v>1070233485934235648</v>
      </c>
      <c r="F1917" s="11"/>
      <c r="G1917" s="11"/>
      <c r="H1917" s="11"/>
      <c r="I1917" s="12">
        <v>0</v>
      </c>
      <c r="J1917" s="12">
        <v>0</v>
      </c>
      <c r="K1917" s="13" t="str">
        <f t="shared" ref="K1917:K1919" si="423">HYPERLINK("http://twitter.com/download/android","Twitter for Android")</f>
        <v>Twitter for Android</v>
      </c>
      <c r="L1917" s="12">
        <v>1604</v>
      </c>
      <c r="M1917" s="12">
        <v>2934</v>
      </c>
      <c r="N1917" s="12">
        <v>13</v>
      </c>
      <c r="O1917" s="14"/>
      <c r="P1917" s="6">
        <v>41738.599583333329</v>
      </c>
      <c r="Q1917" s="15" t="s">
        <v>612</v>
      </c>
      <c r="R1917" s="17" t="s">
        <v>6624</v>
      </c>
      <c r="S1917" s="11"/>
      <c r="T1917" s="11"/>
      <c r="U1917" s="10" t="str">
        <f>HYPERLINK("https://pbs.twimg.com/profile_images/999753898624602112/TAHyT6pH.jpg","View")</f>
        <v>View</v>
      </c>
    </row>
    <row r="1918" spans="1:21" ht="40.799999999999997">
      <c r="A1918" s="6">
        <v>43439.394421296296</v>
      </c>
      <c r="B1918" s="7" t="str">
        <f>HYPERLINK("https://twitter.com/angiemg82","@angiemg82")</f>
        <v>@angiemg82</v>
      </c>
      <c r="C1918" s="8" t="s">
        <v>6207</v>
      </c>
      <c r="D1918" s="9" t="s">
        <v>6625</v>
      </c>
      <c r="E1918" s="10" t="str">
        <f>HYPERLINK("https://twitter.com/angiemg82/status/1070233304547377152","1070233304547377152")</f>
        <v>1070233304547377152</v>
      </c>
      <c r="F1918" s="11"/>
      <c r="G1918" s="11"/>
      <c r="H1918" s="11"/>
      <c r="I1918" s="12">
        <v>0</v>
      </c>
      <c r="J1918" s="12">
        <v>2</v>
      </c>
      <c r="K1918" s="13" t="str">
        <f t="shared" si="423"/>
        <v>Twitter for Android</v>
      </c>
      <c r="L1918" s="12">
        <v>3059</v>
      </c>
      <c r="M1918" s="12">
        <v>272</v>
      </c>
      <c r="N1918" s="12">
        <v>59</v>
      </c>
      <c r="O1918" s="14"/>
      <c r="P1918" s="6">
        <v>41295.913715277777</v>
      </c>
      <c r="Q1918" s="15" t="s">
        <v>612</v>
      </c>
      <c r="R1918" s="17" t="s">
        <v>6209</v>
      </c>
      <c r="S1918" s="16" t="s">
        <v>6210</v>
      </c>
      <c r="T1918" s="11"/>
      <c r="U1918" s="10" t="str">
        <f>HYPERLINK("https://pbs.twimg.com/profile_images/974021596800323587/G2c5Qwth.jpg","View")</f>
        <v>View</v>
      </c>
    </row>
    <row r="1919" spans="1:21" ht="30.6">
      <c r="A1919" s="6">
        <v>43439.393842592588</v>
      </c>
      <c r="B1919" s="7" t="str">
        <f>HYPERLINK("https://twitter.com/MARIAPerezFern","@MARIAPerezFern")</f>
        <v>@MARIAPerezFern</v>
      </c>
      <c r="C1919" s="8" t="s">
        <v>6238</v>
      </c>
      <c r="D1919" s="9" t="s">
        <v>6626</v>
      </c>
      <c r="E1919" s="10" t="str">
        <f>HYPERLINK("https://twitter.com/MARIAPerezFern/status/1070233093162831872","1070233093162831872")</f>
        <v>1070233093162831872</v>
      </c>
      <c r="F1919" s="11"/>
      <c r="G1919" s="11"/>
      <c r="H1919" s="11"/>
      <c r="I1919" s="12">
        <v>1</v>
      </c>
      <c r="J1919" s="12">
        <v>1</v>
      </c>
      <c r="K1919" s="13" t="str">
        <f t="shared" si="423"/>
        <v>Twitter for Android</v>
      </c>
      <c r="L1919" s="12">
        <v>2192</v>
      </c>
      <c r="M1919" s="12">
        <v>2224</v>
      </c>
      <c r="N1919" s="12">
        <v>32</v>
      </c>
      <c r="O1919" s="14"/>
      <c r="P1919" s="6">
        <v>41458.632418981484</v>
      </c>
      <c r="Q1919" s="15" t="s">
        <v>5629</v>
      </c>
      <c r="R1919" s="17" t="s">
        <v>6240</v>
      </c>
      <c r="S1919" s="11"/>
      <c r="T1919" s="11"/>
      <c r="U1919" s="10" t="str">
        <f>HYPERLINK("https://pbs.twimg.com/profile_images/1062830273992318976/xCF0muOM.jpg","View")</f>
        <v>View</v>
      </c>
    </row>
    <row r="1920" spans="1:21" ht="30.6">
      <c r="A1920" s="6">
        <v>43439.393634259264</v>
      </c>
      <c r="B1920" s="7" t="str">
        <f>HYPERLINK("https://twitter.com/2grober","@2grober")</f>
        <v>@2grober</v>
      </c>
      <c r="C1920" s="8" t="s">
        <v>62</v>
      </c>
      <c r="D1920" s="9" t="s">
        <v>6627</v>
      </c>
      <c r="E1920" s="10" t="str">
        <f>HYPERLINK("https://twitter.com/2grober/status/1070233020181946368","1070233020181946368")</f>
        <v>1070233020181946368</v>
      </c>
      <c r="F1920" s="11"/>
      <c r="G1920" s="16" t="s">
        <v>6628</v>
      </c>
      <c r="H1920" s="11"/>
      <c r="I1920" s="12">
        <v>10</v>
      </c>
      <c r="J1920" s="12">
        <v>16</v>
      </c>
      <c r="K1920" s="13" t="str">
        <f>HYPERLINK("http://twitter.com/download/iphone","Twitter for iPhone")</f>
        <v>Twitter for iPhone</v>
      </c>
      <c r="L1920" s="12">
        <v>159</v>
      </c>
      <c r="M1920" s="12">
        <v>238</v>
      </c>
      <c r="N1920" s="12">
        <v>0</v>
      </c>
      <c r="O1920" s="14"/>
      <c r="P1920" s="6">
        <v>41350.999374999999</v>
      </c>
      <c r="Q1920" s="11"/>
      <c r="R1920" s="18"/>
      <c r="S1920" s="11"/>
      <c r="T1920" s="11"/>
      <c r="U1920" s="10" t="str">
        <f>HYPERLINK("https://pbs.twimg.com/profile_images/3394025870/e36b9c8cbe2c6ba529c3af1af2424de2.jpeg","View")</f>
        <v>View</v>
      </c>
    </row>
    <row r="1921" spans="1:21" ht="40.799999999999997">
      <c r="A1921" s="6">
        <v>43439.393159722225</v>
      </c>
      <c r="B1921" s="7" t="str">
        <f>HYPERLINK("https://twitter.com/vox_es","@vox_es")</f>
        <v>@vox_es</v>
      </c>
      <c r="C1921" s="8" t="s">
        <v>3230</v>
      </c>
      <c r="D1921" s="9" t="s">
        <v>6629</v>
      </c>
      <c r="E1921" s="10" t="str">
        <f>HYPERLINK("https://twitter.com/vox_es/status/1070232846231617536","1070232846231617536")</f>
        <v>1070232846231617536</v>
      </c>
      <c r="F1921" s="11"/>
      <c r="G1921" s="16" t="s">
        <v>6490</v>
      </c>
      <c r="H1921" s="11"/>
      <c r="I1921" s="12">
        <v>387</v>
      </c>
      <c r="J1921" s="12">
        <v>822</v>
      </c>
      <c r="K1921" s="13" t="str">
        <f t="shared" ref="K1921:K1922" si="424">HYPERLINK("http://twitter.com/download/android","Twitter for Android")</f>
        <v>Twitter for Android</v>
      </c>
      <c r="L1921" s="12">
        <v>147920</v>
      </c>
      <c r="M1921" s="12">
        <v>937</v>
      </c>
      <c r="N1921" s="12">
        <v>988</v>
      </c>
      <c r="O1921" s="23" t="s">
        <v>89</v>
      </c>
      <c r="P1921" s="6">
        <v>41596.746655092589</v>
      </c>
      <c r="Q1921" s="11"/>
      <c r="R1921" s="17" t="s">
        <v>3232</v>
      </c>
      <c r="S1921" s="16" t="s">
        <v>1740</v>
      </c>
      <c r="T1921" s="11"/>
      <c r="U1921" s="10" t="str">
        <f>HYPERLINK("https://pbs.twimg.com/profile_images/1016653788617363456/m3b3jqW5.jpg","View")</f>
        <v>View</v>
      </c>
    </row>
    <row r="1922" spans="1:21" ht="20.399999999999999">
      <c r="A1922" s="6">
        <v>43439.392777777779</v>
      </c>
      <c r="B1922" s="7" t="str">
        <f>HYPERLINK("https://twitter.com/silvia0907","@silvia0907")</f>
        <v>@silvia0907</v>
      </c>
      <c r="C1922" s="8" t="s">
        <v>4541</v>
      </c>
      <c r="D1922" s="9" t="s">
        <v>6630</v>
      </c>
      <c r="E1922" s="10" t="str">
        <f>HYPERLINK("https://twitter.com/silvia0907/status/1070232709811847173","1070232709811847173")</f>
        <v>1070232709811847173</v>
      </c>
      <c r="F1922" s="11"/>
      <c r="G1922" s="16" t="s">
        <v>6631</v>
      </c>
      <c r="H1922" s="11"/>
      <c r="I1922" s="12">
        <v>2</v>
      </c>
      <c r="J1922" s="12">
        <v>8</v>
      </c>
      <c r="K1922" s="13" t="str">
        <f t="shared" si="424"/>
        <v>Twitter for Android</v>
      </c>
      <c r="L1922" s="12">
        <v>3671</v>
      </c>
      <c r="M1922" s="12">
        <v>63</v>
      </c>
      <c r="N1922" s="12">
        <v>53</v>
      </c>
      <c r="O1922" s="14"/>
      <c r="P1922" s="6">
        <v>41394.656006944446</v>
      </c>
      <c r="Q1922" s="15" t="s">
        <v>612</v>
      </c>
      <c r="R1922" s="17" t="s">
        <v>4544</v>
      </c>
      <c r="S1922" s="11"/>
      <c r="T1922" s="11"/>
      <c r="U1922" s="10" t="str">
        <f>HYPERLINK("https://pbs.twimg.com/profile_images/967044247273791489/I3V7XbPG.jpg","View")</f>
        <v>View</v>
      </c>
    </row>
    <row r="1923" spans="1:21" ht="40.799999999999997">
      <c r="A1923" s="6">
        <v>43439.392777777779</v>
      </c>
      <c r="B1923" s="7" t="str">
        <f>HYPERLINK("https://twitter.com/salud_anguita","@salud_anguita")</f>
        <v>@salud_anguita</v>
      </c>
      <c r="C1923" s="8" t="s">
        <v>6632</v>
      </c>
      <c r="D1923" s="9" t="s">
        <v>6633</v>
      </c>
      <c r="E1923" s="10" t="str">
        <f>HYPERLINK("https://twitter.com/salud_anguita/status/1070232709392490496","1070232709392490496")</f>
        <v>1070232709392490496</v>
      </c>
      <c r="F1923" s="11"/>
      <c r="G1923" s="16" t="s">
        <v>6634</v>
      </c>
      <c r="H1923" s="11"/>
      <c r="I1923" s="12">
        <v>12</v>
      </c>
      <c r="J1923" s="12">
        <v>27</v>
      </c>
      <c r="K1923" s="13" t="str">
        <f>HYPERLINK("http://twitter.com/download/iphone","Twitter for iPhone")</f>
        <v>Twitter for iPhone</v>
      </c>
      <c r="L1923" s="12">
        <v>2616</v>
      </c>
      <c r="M1923" s="12">
        <v>1562</v>
      </c>
      <c r="N1923" s="12">
        <v>29</v>
      </c>
      <c r="O1923" s="14"/>
      <c r="P1923" s="6">
        <v>41827.995185185187</v>
      </c>
      <c r="Q1923" s="15" t="s">
        <v>6635</v>
      </c>
      <c r="R1923" s="17" t="s">
        <v>6636</v>
      </c>
      <c r="S1923" s="11"/>
      <c r="T1923" s="11"/>
      <c r="U1923" s="10" t="str">
        <f>HYPERLINK("https://pbs.twimg.com/profile_images/893154017185939456/1VHcTnuY.jpg","View")</f>
        <v>View</v>
      </c>
    </row>
    <row r="1924" spans="1:21" ht="30.6">
      <c r="A1924" s="6">
        <v>43439.392037037032</v>
      </c>
      <c r="B1924" s="7" t="str">
        <f>HYPERLINK("https://twitter.com/jmmg067","@jmmg067")</f>
        <v>@jmmg067</v>
      </c>
      <c r="C1924" s="8" t="s">
        <v>6637</v>
      </c>
      <c r="D1924" s="9" t="s">
        <v>6638</v>
      </c>
      <c r="E1924" s="10" t="str">
        <f>HYPERLINK("https://twitter.com/jmmg067/status/1070232440973725696","1070232440973725696")</f>
        <v>1070232440973725696</v>
      </c>
      <c r="F1924" s="11"/>
      <c r="G1924" s="11"/>
      <c r="H1924" s="11"/>
      <c r="I1924" s="12">
        <v>0</v>
      </c>
      <c r="J1924" s="12">
        <v>1</v>
      </c>
      <c r="K1924" s="13" t="str">
        <f>HYPERLINK("http://twitter.com","Twitter Web Client")</f>
        <v>Twitter Web Client</v>
      </c>
      <c r="L1924" s="12">
        <v>1655</v>
      </c>
      <c r="M1924" s="12">
        <v>1897</v>
      </c>
      <c r="N1924" s="12">
        <v>14</v>
      </c>
      <c r="O1924" s="14"/>
      <c r="P1924" s="6">
        <v>40278.019675925927</v>
      </c>
      <c r="Q1924" s="15" t="s">
        <v>612</v>
      </c>
      <c r="R1924" s="17" t="s">
        <v>6639</v>
      </c>
      <c r="S1924" s="11"/>
      <c r="T1924" s="11"/>
      <c r="U1924" s="10" t="str">
        <f>HYPERLINK("https://pbs.twimg.com/profile_images/741750541777293312/XzbrjZeL.jpg","View")</f>
        <v>View</v>
      </c>
    </row>
    <row r="1925" spans="1:21" ht="20.399999999999999">
      <c r="A1925" s="6">
        <v>43439.391967592594</v>
      </c>
      <c r="B1925" s="7" t="str">
        <f>HYPERLINK("https://twitter.com/Escobar221G","@Escobar221G")</f>
        <v>@Escobar221G</v>
      </c>
      <c r="C1925" s="8" t="s">
        <v>6640</v>
      </c>
      <c r="D1925" s="9" t="s">
        <v>6641</v>
      </c>
      <c r="E1925" s="10" t="str">
        <f>HYPERLINK("https://twitter.com/Escobar221G/status/1070232413568163840","1070232413568163840")</f>
        <v>1070232413568163840</v>
      </c>
      <c r="F1925" s="11"/>
      <c r="G1925" s="11"/>
      <c r="H1925" s="11"/>
      <c r="I1925" s="12">
        <v>0</v>
      </c>
      <c r="J1925" s="12">
        <v>1</v>
      </c>
      <c r="K1925" s="13" t="str">
        <f>HYPERLINK("http://twitter.com/download/android","Twitter for Android")</f>
        <v>Twitter for Android</v>
      </c>
      <c r="L1925" s="12">
        <v>285</v>
      </c>
      <c r="M1925" s="12">
        <v>501</v>
      </c>
      <c r="N1925" s="12">
        <v>6</v>
      </c>
      <c r="O1925" s="14"/>
      <c r="P1925" s="6">
        <v>40959.445254629631</v>
      </c>
      <c r="Q1925" s="11"/>
      <c r="R1925" s="18"/>
      <c r="S1925" s="11"/>
      <c r="T1925" s="11"/>
      <c r="U1925" s="10" t="str">
        <f>HYPERLINK("https://pbs.twimg.com/profile_images/1063894286779981824/Z4aQ-tcV.jpg","View")</f>
        <v>View</v>
      </c>
    </row>
    <row r="1926" spans="1:21" ht="13.2">
      <c r="A1926" s="6">
        <v>43439.391944444447</v>
      </c>
      <c r="B1926" s="7" t="str">
        <f>HYPERLINK("https://twitter.com/nomedesporculo1","@nomedesporculo1")</f>
        <v>@nomedesporculo1</v>
      </c>
      <c r="C1926" s="8" t="s">
        <v>258</v>
      </c>
      <c r="D1926" s="9" t="s">
        <v>6642</v>
      </c>
      <c r="E1926" s="10" t="str">
        <f>HYPERLINK("https://twitter.com/nomedesporculo1/status/1070232407800983553","1070232407800983553")</f>
        <v>1070232407800983553</v>
      </c>
      <c r="F1926" s="11"/>
      <c r="G1926" s="11"/>
      <c r="H1926" s="11"/>
      <c r="I1926" s="12">
        <v>0</v>
      </c>
      <c r="J1926" s="12">
        <v>0</v>
      </c>
      <c r="K1926" s="13" t="str">
        <f t="shared" ref="K1926:K1927" si="425">HYPERLINK("http://twitter.com","Twitter Web Client")</f>
        <v>Twitter Web Client</v>
      </c>
      <c r="L1926" s="12">
        <v>452</v>
      </c>
      <c r="M1926" s="12">
        <v>573</v>
      </c>
      <c r="N1926" s="12">
        <v>1</v>
      </c>
      <c r="O1926" s="14"/>
      <c r="P1926" s="6">
        <v>43229.504178240742</v>
      </c>
      <c r="Q1926" s="15" t="s">
        <v>197</v>
      </c>
      <c r="R1926" s="17" t="s">
        <v>262</v>
      </c>
      <c r="S1926" s="11"/>
      <c r="T1926" s="11"/>
      <c r="U1926" s="10" t="str">
        <f>HYPERLINK("https://pbs.twimg.com/profile_images/994246645255729152/cHfn_Hjl.jpg","View")</f>
        <v>View</v>
      </c>
    </row>
    <row r="1927" spans="1:21" ht="40.799999999999997">
      <c r="A1927" s="6">
        <v>43439.391655092593</v>
      </c>
      <c r="B1927" s="7" t="str">
        <f>HYPERLINK("https://twitter.com/Alberto_deJesus","@Alberto_deJesus")</f>
        <v>@Alberto_deJesus</v>
      </c>
      <c r="C1927" s="8" t="s">
        <v>5522</v>
      </c>
      <c r="D1927" s="9" t="s">
        <v>6643</v>
      </c>
      <c r="E1927" s="10" t="str">
        <f>HYPERLINK("https://twitter.com/Alberto_deJesus/status/1070232303916474368","1070232303916474368")</f>
        <v>1070232303916474368</v>
      </c>
      <c r="F1927" s="11"/>
      <c r="G1927" s="11"/>
      <c r="H1927" s="11"/>
      <c r="I1927" s="12">
        <v>1</v>
      </c>
      <c r="J1927" s="12">
        <v>1</v>
      </c>
      <c r="K1927" s="13" t="str">
        <f t="shared" si="425"/>
        <v>Twitter Web Client</v>
      </c>
      <c r="L1927" s="12">
        <v>1088</v>
      </c>
      <c r="M1927" s="12">
        <v>2077</v>
      </c>
      <c r="N1927" s="12">
        <v>13</v>
      </c>
      <c r="O1927" s="14"/>
      <c r="P1927" s="6">
        <v>40577.815011574072</v>
      </c>
      <c r="Q1927" s="11"/>
      <c r="R1927" s="17" t="s">
        <v>5525</v>
      </c>
      <c r="S1927" s="11"/>
      <c r="T1927" s="11"/>
      <c r="U1927" s="10" t="str">
        <f>HYPERLINK("https://pbs.twimg.com/profile_images/951506738431348737/6cR4Ai9G.jpg","View")</f>
        <v>View</v>
      </c>
    </row>
    <row r="1928" spans="1:21" ht="40.799999999999997">
      <c r="A1928" s="6">
        <v>43439.39163194444</v>
      </c>
      <c r="B1928" s="7" t="str">
        <f>HYPERLINK("https://twitter.com/aikitwiter","@aikitwiter")</f>
        <v>@aikitwiter</v>
      </c>
      <c r="C1928" s="8" t="s">
        <v>2225</v>
      </c>
      <c r="D1928" s="9" t="s">
        <v>6644</v>
      </c>
      <c r="E1928" s="10" t="str">
        <f>HYPERLINK("https://twitter.com/aikitwiter/status/1070232292373749760","1070232292373749760")</f>
        <v>1070232292373749760</v>
      </c>
      <c r="F1928" s="15" t="s">
        <v>6645</v>
      </c>
      <c r="G1928" s="11"/>
      <c r="H1928" s="11"/>
      <c r="I1928" s="12">
        <v>0</v>
      </c>
      <c r="J1928" s="12">
        <v>0</v>
      </c>
      <c r="K1928" s="13" t="str">
        <f>HYPERLINK("http://twitter.com/download/android","Twitter for Android")</f>
        <v>Twitter for Android</v>
      </c>
      <c r="L1928" s="12">
        <v>203</v>
      </c>
      <c r="M1928" s="12">
        <v>61</v>
      </c>
      <c r="N1928" s="12">
        <v>4</v>
      </c>
      <c r="O1928" s="14"/>
      <c r="P1928" s="6">
        <v>42521.63009259259</v>
      </c>
      <c r="Q1928" s="15" t="s">
        <v>2228</v>
      </c>
      <c r="R1928" s="17" t="s">
        <v>2229</v>
      </c>
      <c r="S1928" s="11"/>
      <c r="T1928" s="11"/>
      <c r="U1928" s="10" t="str">
        <f>HYPERLINK("https://pbs.twimg.com/profile_images/747691348782874624/9TbgSJ95.jpg","View")</f>
        <v>View</v>
      </c>
    </row>
    <row r="1929" spans="1:21" ht="30.6">
      <c r="A1929" s="6">
        <v>43439.391157407408</v>
      </c>
      <c r="B1929" s="7" t="str">
        <f>HYPERLINK("https://twitter.com/telecincoes","@telecincoes")</f>
        <v>@telecincoes</v>
      </c>
      <c r="C1929" s="8" t="s">
        <v>5805</v>
      </c>
      <c r="D1929" s="9" t="s">
        <v>6646</v>
      </c>
      <c r="E1929" s="10" t="str">
        <f>HYPERLINK("https://twitter.com/telecincoes/status/1070232120168189952","1070232120168189952")</f>
        <v>1070232120168189952</v>
      </c>
      <c r="F1929" s="16" t="s">
        <v>6647</v>
      </c>
      <c r="G1929" s="16" t="s">
        <v>6648</v>
      </c>
      <c r="H1929" s="11"/>
      <c r="I1929" s="12">
        <v>171</v>
      </c>
      <c r="J1929" s="12">
        <v>389</v>
      </c>
      <c r="K1929" s="13" t="str">
        <f>HYPERLINK("https://about.twitter.com/products/tweetdeck","TweetDeck")</f>
        <v>TweetDeck</v>
      </c>
      <c r="L1929" s="12">
        <v>1577593</v>
      </c>
      <c r="M1929" s="12">
        <v>1363</v>
      </c>
      <c r="N1929" s="12">
        <v>3720</v>
      </c>
      <c r="O1929" s="23" t="s">
        <v>89</v>
      </c>
      <c r="P1929" s="6">
        <v>39848.01626157407</v>
      </c>
      <c r="Q1929" s="15" t="s">
        <v>5809</v>
      </c>
      <c r="R1929" s="17" t="s">
        <v>5810</v>
      </c>
      <c r="S1929" s="16" t="s">
        <v>5811</v>
      </c>
      <c r="T1929" s="11"/>
      <c r="U1929" s="10" t="str">
        <f>HYPERLINK("https://pbs.twimg.com/profile_images/903296444697858048/yS_V6Bk4.jpg","View")</f>
        <v>View</v>
      </c>
    </row>
    <row r="1930" spans="1:21" ht="40.799999999999997">
      <c r="A1930" s="6">
        <v>43439.3909375</v>
      </c>
      <c r="B1930" s="7" t="str">
        <f>HYPERLINK("https://twitter.com/2grober","@2grober")</f>
        <v>@2grober</v>
      </c>
      <c r="C1930" s="8" t="s">
        <v>62</v>
      </c>
      <c r="D1930" s="9" t="s">
        <v>6649</v>
      </c>
      <c r="E1930" s="10" t="str">
        <f>HYPERLINK("https://twitter.com/2grober/status/1070232043194335232","1070232043194335232")</f>
        <v>1070232043194335232</v>
      </c>
      <c r="F1930" s="11"/>
      <c r="G1930" s="11"/>
      <c r="H1930" s="11"/>
      <c r="I1930" s="12">
        <v>0</v>
      </c>
      <c r="J1930" s="12">
        <v>2</v>
      </c>
      <c r="K1930" s="13" t="str">
        <f>HYPERLINK("http://twitter.com/download/iphone","Twitter for iPhone")</f>
        <v>Twitter for iPhone</v>
      </c>
      <c r="L1930" s="12">
        <v>159</v>
      </c>
      <c r="M1930" s="12">
        <v>238</v>
      </c>
      <c r="N1930" s="12">
        <v>0</v>
      </c>
      <c r="O1930" s="14"/>
      <c r="P1930" s="6">
        <v>41350.999374999999</v>
      </c>
      <c r="Q1930" s="11"/>
      <c r="R1930" s="18"/>
      <c r="S1930" s="11"/>
      <c r="T1930" s="11"/>
      <c r="U1930" s="10" t="str">
        <f>HYPERLINK("https://pbs.twimg.com/profile_images/3394025870/e36b9c8cbe2c6ba529c3af1af2424de2.jpeg","View")</f>
        <v>View</v>
      </c>
    </row>
    <row r="1931" spans="1:21" ht="40.799999999999997">
      <c r="A1931" s="6">
        <v>43439.3908912037</v>
      </c>
      <c r="B1931" s="7" t="str">
        <f>HYPERLINK("https://twitter.com/soloalexandre","@soloalexandre")</f>
        <v>@soloalexandre</v>
      </c>
      <c r="C1931" s="8" t="s">
        <v>6650</v>
      </c>
      <c r="D1931" s="9" t="s">
        <v>6651</v>
      </c>
      <c r="E1931" s="10" t="str">
        <f>HYPERLINK("https://twitter.com/soloalexandre/status/1070232026391961600","1070232026391961600")</f>
        <v>1070232026391961600</v>
      </c>
      <c r="F1931" s="16" t="s">
        <v>6652</v>
      </c>
      <c r="G1931" s="11"/>
      <c r="H1931" s="11"/>
      <c r="I1931" s="12">
        <v>23</v>
      </c>
      <c r="J1931" s="12">
        <v>33</v>
      </c>
      <c r="K1931" s="13" t="str">
        <f t="shared" ref="K1931:K1934" si="426">HYPERLINK("http://twitter.com/download/android","Twitter for Android")</f>
        <v>Twitter for Android</v>
      </c>
      <c r="L1931" s="12">
        <v>9031</v>
      </c>
      <c r="M1931" s="12">
        <v>377</v>
      </c>
      <c r="N1931" s="12">
        <v>50</v>
      </c>
      <c r="O1931" s="14"/>
      <c r="P1931" s="6">
        <v>41711.438611111109</v>
      </c>
      <c r="Q1931" s="15" t="s">
        <v>6653</v>
      </c>
      <c r="R1931" s="17" t="s">
        <v>6654</v>
      </c>
      <c r="S1931" s="16" t="s">
        <v>6655</v>
      </c>
      <c r="T1931" s="11"/>
      <c r="U1931" s="10" t="str">
        <f>HYPERLINK("https://pbs.twimg.com/profile_images/1050414624414281729/Jsc8n7Qh.jpg","View")</f>
        <v>View</v>
      </c>
    </row>
    <row r="1932" spans="1:21" ht="40.799999999999997">
      <c r="A1932" s="6">
        <v>43439.390821759254</v>
      </c>
      <c r="B1932" s="7" t="str">
        <f>HYPERLINK("https://twitter.com/marcialnews","@marcialnews")</f>
        <v>@marcialnews</v>
      </c>
      <c r="C1932" s="8" t="s">
        <v>6656</v>
      </c>
      <c r="D1932" s="9" t="s">
        <v>6657</v>
      </c>
      <c r="E1932" s="10" t="str">
        <f>HYPERLINK("https://twitter.com/marcialnews/status/1070231998319550465","1070231998319550465")</f>
        <v>1070231998319550465</v>
      </c>
      <c r="F1932" s="11"/>
      <c r="G1932" s="11"/>
      <c r="H1932" s="11"/>
      <c r="I1932" s="12">
        <v>0</v>
      </c>
      <c r="J1932" s="12">
        <v>1</v>
      </c>
      <c r="K1932" s="13" t="str">
        <f t="shared" si="426"/>
        <v>Twitter for Android</v>
      </c>
      <c r="L1932" s="12">
        <v>733</v>
      </c>
      <c r="M1932" s="12">
        <v>1338</v>
      </c>
      <c r="N1932" s="12">
        <v>41</v>
      </c>
      <c r="O1932" s="14"/>
      <c r="P1932" s="6">
        <v>40487.010115740741</v>
      </c>
      <c r="Q1932" s="15" t="s">
        <v>4432</v>
      </c>
      <c r="R1932" s="17" t="s">
        <v>6658</v>
      </c>
      <c r="S1932" s="11"/>
      <c r="T1932" s="11"/>
      <c r="U1932" s="10" t="str">
        <f>HYPERLINK("https://pbs.twimg.com/profile_images/904065187124322304/ZoZZRh2H.jpg","View")</f>
        <v>View</v>
      </c>
    </row>
    <row r="1933" spans="1:21" ht="20.399999999999999">
      <c r="A1933" s="6">
        <v>43439.390671296293</v>
      </c>
      <c r="B1933" s="7" t="str">
        <f>HYPERLINK("https://twitter.com/CarlosHurtado83","@CarlosHurtado83")</f>
        <v>@CarlosHurtado83</v>
      </c>
      <c r="C1933" s="8" t="s">
        <v>6659</v>
      </c>
      <c r="D1933" s="9" t="s">
        <v>6660</v>
      </c>
      <c r="E1933" s="10" t="str">
        <f>HYPERLINK("https://twitter.com/CarlosHurtado83/status/1070231946243002370","1070231946243002370")</f>
        <v>1070231946243002370</v>
      </c>
      <c r="F1933" s="11"/>
      <c r="G1933" s="11"/>
      <c r="H1933" s="11"/>
      <c r="I1933" s="12">
        <v>1</v>
      </c>
      <c r="J1933" s="12">
        <v>1</v>
      </c>
      <c r="K1933" s="13" t="str">
        <f t="shared" si="426"/>
        <v>Twitter for Android</v>
      </c>
      <c r="L1933" s="12">
        <v>286</v>
      </c>
      <c r="M1933" s="12">
        <v>276</v>
      </c>
      <c r="N1933" s="12">
        <v>0</v>
      </c>
      <c r="O1933" s="14"/>
      <c r="P1933" s="6">
        <v>41424.601226851853</v>
      </c>
      <c r="Q1933" s="11"/>
      <c r="R1933" s="18"/>
      <c r="S1933" s="11"/>
      <c r="T1933" s="11"/>
      <c r="U1933" s="10" t="str">
        <f>HYPERLINK("https://pbs.twimg.com/profile_images/933805039382159360/puu-Lilm.jpg","View")</f>
        <v>View</v>
      </c>
    </row>
    <row r="1934" spans="1:21" ht="40.799999999999997">
      <c r="A1934" s="6">
        <v>43439.39</v>
      </c>
      <c r="B1934" s="7" t="str">
        <f>HYPERLINK("https://twitter.com/vox_chamberi","@vox_chamberi")</f>
        <v>@vox_chamberi</v>
      </c>
      <c r="C1934" s="8" t="s">
        <v>6661</v>
      </c>
      <c r="D1934" s="9" t="s">
        <v>6662</v>
      </c>
      <c r="E1934" s="10" t="str">
        <f>HYPERLINK("https://twitter.com/vox_chamberi/status/1070231704269410304","1070231704269410304")</f>
        <v>1070231704269410304</v>
      </c>
      <c r="F1934" s="11"/>
      <c r="G1934" s="11"/>
      <c r="H1934" s="11"/>
      <c r="I1934" s="12">
        <v>8</v>
      </c>
      <c r="J1934" s="12">
        <v>16</v>
      </c>
      <c r="K1934" s="13" t="str">
        <f t="shared" si="426"/>
        <v>Twitter for Android</v>
      </c>
      <c r="L1934" s="12">
        <v>810</v>
      </c>
      <c r="M1934" s="12">
        <v>420</v>
      </c>
      <c r="N1934" s="12">
        <v>2</v>
      </c>
      <c r="O1934" s="14"/>
      <c r="P1934" s="6">
        <v>43136.662152777775</v>
      </c>
      <c r="Q1934" s="11"/>
      <c r="R1934" s="17" t="s">
        <v>6663</v>
      </c>
      <c r="S1934" s="11"/>
      <c r="T1934" s="11"/>
      <c r="U1934" s="10" t="str">
        <f>HYPERLINK("https://pbs.twimg.com/profile_images/960529474268876800/yRAEHvSh.jpg","View")</f>
        <v>View</v>
      </c>
    </row>
    <row r="1935" spans="1:21" ht="20.399999999999999">
      <c r="A1935" s="6">
        <v>43439.389710648145</v>
      </c>
      <c r="B1935" s="7" t="str">
        <f>HYPERLINK("https://twitter.com/CiudadLinealVox","@CiudadLinealVox")</f>
        <v>@CiudadLinealVox</v>
      </c>
      <c r="C1935" s="8" t="s">
        <v>6664</v>
      </c>
      <c r="D1935" s="9" t="s">
        <v>6665</v>
      </c>
      <c r="E1935" s="10" t="str">
        <f>HYPERLINK("https://twitter.com/CiudadLinealVox/status/1070231598837219328","1070231598837219328")</f>
        <v>1070231598837219328</v>
      </c>
      <c r="F1935" s="11"/>
      <c r="G1935" s="11"/>
      <c r="H1935" s="11"/>
      <c r="I1935" s="12">
        <v>3</v>
      </c>
      <c r="J1935" s="12">
        <v>2</v>
      </c>
      <c r="K1935" s="13" t="str">
        <f t="shared" ref="K1935:K1937" si="427">HYPERLINK("http://twitter.com/download/iphone","Twitter for iPhone")</f>
        <v>Twitter for iPhone</v>
      </c>
      <c r="L1935" s="12">
        <v>234</v>
      </c>
      <c r="M1935" s="12">
        <v>364</v>
      </c>
      <c r="N1935" s="12">
        <v>0</v>
      </c>
      <c r="O1935" s="14"/>
      <c r="P1935" s="6">
        <v>43391.658321759256</v>
      </c>
      <c r="Q1935" s="15" t="s">
        <v>6666</v>
      </c>
      <c r="R1935" s="17" t="s">
        <v>6667</v>
      </c>
      <c r="S1935" s="11"/>
      <c r="T1935" s="11"/>
      <c r="U1935" s="10" t="str">
        <f>HYPERLINK("https://pbs.twimg.com/profile_images/1054451904368074752/jgRsmlQ9.jpg","View")</f>
        <v>View</v>
      </c>
    </row>
    <row r="1936" spans="1:21" ht="40.799999999999997">
      <c r="A1936" s="6">
        <v>43439.389699074076</v>
      </c>
      <c r="B1936" s="7" t="str">
        <f>HYPERLINK("https://twitter.com/2grober","@2grober")</f>
        <v>@2grober</v>
      </c>
      <c r="C1936" s="8" t="s">
        <v>62</v>
      </c>
      <c r="D1936" s="9" t="s">
        <v>6668</v>
      </c>
      <c r="E1936" s="10" t="str">
        <f>HYPERLINK("https://twitter.com/2grober/status/1070231594265399296","1070231594265399296")</f>
        <v>1070231594265399296</v>
      </c>
      <c r="F1936" s="16" t="s">
        <v>6558</v>
      </c>
      <c r="G1936" s="11"/>
      <c r="H1936" s="11"/>
      <c r="I1936" s="12">
        <v>0</v>
      </c>
      <c r="J1936" s="12">
        <v>0</v>
      </c>
      <c r="K1936" s="13" t="str">
        <f t="shared" si="427"/>
        <v>Twitter for iPhone</v>
      </c>
      <c r="L1936" s="12">
        <v>159</v>
      </c>
      <c r="M1936" s="12">
        <v>238</v>
      </c>
      <c r="N1936" s="12">
        <v>0</v>
      </c>
      <c r="O1936" s="14"/>
      <c r="P1936" s="6">
        <v>41350.999374999999</v>
      </c>
      <c r="Q1936" s="11"/>
      <c r="R1936" s="18"/>
      <c r="S1936" s="11"/>
      <c r="T1936" s="11"/>
      <c r="U1936" s="10" t="str">
        <f>HYPERLINK("https://pbs.twimg.com/profile_images/3394025870/e36b9c8cbe2c6ba529c3af1af2424de2.jpeg","View")</f>
        <v>View</v>
      </c>
    </row>
    <row r="1937" spans="1:21" ht="20.399999999999999">
      <c r="A1937" s="6">
        <v>43439.389386574076</v>
      </c>
      <c r="B1937" s="7" t="str">
        <f>HYPERLINK("https://twitter.com/KettyGarat","@KettyGarat")</f>
        <v>@KettyGarat</v>
      </c>
      <c r="C1937" s="8" t="s">
        <v>6669</v>
      </c>
      <c r="D1937" s="9" t="s">
        <v>6670</v>
      </c>
      <c r="E1937" s="10" t="str">
        <f>HYPERLINK("https://twitter.com/KettyGarat/status/1070231480117456896","1070231480117456896")</f>
        <v>1070231480117456896</v>
      </c>
      <c r="F1937" s="11"/>
      <c r="G1937" s="16" t="s">
        <v>6671</v>
      </c>
      <c r="H1937" s="11"/>
      <c r="I1937" s="12">
        <v>8</v>
      </c>
      <c r="J1937" s="12">
        <v>27</v>
      </c>
      <c r="K1937" s="13" t="str">
        <f t="shared" si="427"/>
        <v>Twitter for iPhone</v>
      </c>
      <c r="L1937" s="12">
        <v>19622</v>
      </c>
      <c r="M1937" s="12">
        <v>717</v>
      </c>
      <c r="N1937" s="12">
        <v>306</v>
      </c>
      <c r="O1937" s="14"/>
      <c r="P1937" s="6">
        <v>40600.764236111107</v>
      </c>
      <c r="Q1937" s="15" t="s">
        <v>612</v>
      </c>
      <c r="R1937" s="17" t="s">
        <v>6672</v>
      </c>
      <c r="S1937" s="11"/>
      <c r="T1937" s="11"/>
      <c r="U1937" s="10" t="str">
        <f>HYPERLINK("https://pbs.twimg.com/profile_images/572521368210509824/CT6X15yu.png","View")</f>
        <v>View</v>
      </c>
    </row>
    <row r="1938" spans="1:21" ht="81.599999999999994">
      <c r="A1938" s="6">
        <v>43439.388182870374</v>
      </c>
      <c r="B1938" s="7" t="str">
        <f>HYPERLINK("https://twitter.com/Pepeinfierno","@Pepeinfierno")</f>
        <v>@Pepeinfierno</v>
      </c>
      <c r="C1938" s="8" t="s">
        <v>6235</v>
      </c>
      <c r="D1938" s="9" t="s">
        <v>6673</v>
      </c>
      <c r="E1938" s="10" t="str">
        <f>HYPERLINK("https://twitter.com/Pepeinfierno/status/1070231042349506561","1070231042349506561")</f>
        <v>1070231042349506561</v>
      </c>
      <c r="F1938" s="16" t="s">
        <v>43</v>
      </c>
      <c r="G1938" s="11"/>
      <c r="H1938" s="11"/>
      <c r="I1938" s="12">
        <v>5</v>
      </c>
      <c r="J1938" s="12">
        <v>8</v>
      </c>
      <c r="K1938" s="13" t="str">
        <f>HYPERLINK("http://twitter.com","Twitter Web Client")</f>
        <v>Twitter Web Client</v>
      </c>
      <c r="L1938" s="12">
        <v>217</v>
      </c>
      <c r="M1938" s="12">
        <v>30</v>
      </c>
      <c r="N1938" s="12">
        <v>1</v>
      </c>
      <c r="O1938" s="14"/>
      <c r="P1938" s="6">
        <v>42952.289293981477</v>
      </c>
      <c r="Q1938" s="11"/>
      <c r="R1938" s="17" t="s">
        <v>6237</v>
      </c>
      <c r="S1938" s="11"/>
      <c r="T1938" s="11"/>
      <c r="U1938" s="10" t="str">
        <f>HYPERLINK("https://pbs.twimg.com/profile_images/981473222716739585/JILFkVEZ.jpg","View")</f>
        <v>View</v>
      </c>
    </row>
    <row r="1939" spans="1:21" ht="40.799999999999997">
      <c r="A1939" s="6">
        <v>43439.386782407411</v>
      </c>
      <c r="B1939" s="7" t="str">
        <f>HYPERLINK("https://twitter.com/illarregui73","@illarregui73")</f>
        <v>@illarregui73</v>
      </c>
      <c r="C1939" s="8" t="s">
        <v>2361</v>
      </c>
      <c r="D1939" s="9" t="s">
        <v>6674</v>
      </c>
      <c r="E1939" s="10" t="str">
        <f>HYPERLINK("https://twitter.com/illarregui73/status/1070230536281559040","1070230536281559040")</f>
        <v>1070230536281559040</v>
      </c>
      <c r="F1939" s="11"/>
      <c r="G1939" s="11"/>
      <c r="H1939" s="11"/>
      <c r="I1939" s="12">
        <v>0</v>
      </c>
      <c r="J1939" s="12">
        <v>1</v>
      </c>
      <c r="K1939" s="13" t="str">
        <f t="shared" ref="K1939:K1941" si="428">HYPERLINK("http://twitter.com/download/android","Twitter for Android")</f>
        <v>Twitter for Android</v>
      </c>
      <c r="L1939" s="12">
        <v>831</v>
      </c>
      <c r="M1939" s="12">
        <v>1238</v>
      </c>
      <c r="N1939" s="12">
        <v>7</v>
      </c>
      <c r="O1939" s="14"/>
      <c r="P1939" s="6">
        <v>42118.615474537037</v>
      </c>
      <c r="Q1939" s="15" t="s">
        <v>2364</v>
      </c>
      <c r="R1939" s="17" t="s">
        <v>2365</v>
      </c>
      <c r="S1939" s="11"/>
      <c r="T1939" s="11"/>
      <c r="U1939" s="10" t="str">
        <f>HYPERLINK("https://pbs.twimg.com/profile_images/1070804124873166848/g7HCZl4V.jpg","View")</f>
        <v>View</v>
      </c>
    </row>
    <row r="1940" spans="1:21" ht="40.799999999999997">
      <c r="A1940" s="6">
        <v>43439.386087962965</v>
      </c>
      <c r="B1940" s="7" t="str">
        <f>HYPERLINK("https://twitter.com/calvomerchan","@calvomerchan")</f>
        <v>@calvomerchan</v>
      </c>
      <c r="C1940" s="8" t="s">
        <v>6675</v>
      </c>
      <c r="D1940" s="9" t="s">
        <v>6676</v>
      </c>
      <c r="E1940" s="10" t="str">
        <f>HYPERLINK("https://twitter.com/calvomerchan/status/1070230282983391232","1070230282983391232")</f>
        <v>1070230282983391232</v>
      </c>
      <c r="F1940" s="11"/>
      <c r="G1940" s="11"/>
      <c r="H1940" s="11"/>
      <c r="I1940" s="12">
        <v>0</v>
      </c>
      <c r="J1940" s="12">
        <v>0</v>
      </c>
      <c r="K1940" s="13" t="str">
        <f t="shared" si="428"/>
        <v>Twitter for Android</v>
      </c>
      <c r="L1940" s="12">
        <v>201</v>
      </c>
      <c r="M1940" s="12">
        <v>899</v>
      </c>
      <c r="N1940" s="12">
        <v>5</v>
      </c>
      <c r="O1940" s="14"/>
      <c r="P1940" s="6">
        <v>41152.45447916667</v>
      </c>
      <c r="Q1940" s="15" t="s">
        <v>6677</v>
      </c>
      <c r="R1940" s="17" t="s">
        <v>6678</v>
      </c>
      <c r="S1940" s="11"/>
      <c r="T1940" s="11"/>
      <c r="U1940" s="10" t="str">
        <f>HYPERLINK("https://pbs.twimg.com/profile_images/1053195102548647936/Y5_O7eXy.jpg","View")</f>
        <v>View</v>
      </c>
    </row>
    <row r="1941" spans="1:21" ht="40.799999999999997">
      <c r="A1941" s="6">
        <v>43439.385046296295</v>
      </c>
      <c r="B1941" s="7" t="str">
        <f>HYPERLINK("https://twitter.com/MinarquistaEsp","@MinarquistaEsp")</f>
        <v>@MinarquistaEsp</v>
      </c>
      <c r="C1941" s="8" t="s">
        <v>6679</v>
      </c>
      <c r="D1941" s="9" t="s">
        <v>6680</v>
      </c>
      <c r="E1941" s="10" t="str">
        <f>HYPERLINK("https://twitter.com/MinarquistaEsp/status/1070229907538628609","1070229907538628609")</f>
        <v>1070229907538628609</v>
      </c>
      <c r="F1941" s="11"/>
      <c r="G1941" s="11"/>
      <c r="H1941" s="11"/>
      <c r="I1941" s="12">
        <v>7</v>
      </c>
      <c r="J1941" s="12">
        <v>12</v>
      </c>
      <c r="K1941" s="13" t="str">
        <f t="shared" si="428"/>
        <v>Twitter for Android</v>
      </c>
      <c r="L1941" s="12">
        <v>845</v>
      </c>
      <c r="M1941" s="12">
        <v>1329</v>
      </c>
      <c r="N1941" s="12">
        <v>15</v>
      </c>
      <c r="O1941" s="14"/>
      <c r="P1941" s="6">
        <v>42681.950555555552</v>
      </c>
      <c r="Q1941" s="11"/>
      <c r="R1941" s="17" t="s">
        <v>6681</v>
      </c>
      <c r="S1941" s="11"/>
      <c r="T1941" s="11"/>
      <c r="U1941" s="10" t="str">
        <f>HYPERLINK("https://pbs.twimg.com/profile_images/911884713018654724/rLUip_U4.jpg","View")</f>
        <v>View</v>
      </c>
    </row>
    <row r="1942" spans="1:21" ht="61.2">
      <c r="A1942" s="6">
        <v>43439.384363425925</v>
      </c>
      <c r="B1942" s="7" t="str">
        <f>HYPERLINK("https://twitter.com/SufridoMurciano","@SufridoMurciano")</f>
        <v>@SufridoMurciano</v>
      </c>
      <c r="C1942" s="8" t="s">
        <v>6682</v>
      </c>
      <c r="D1942" s="9" t="s">
        <v>6683</v>
      </c>
      <c r="E1942" s="10" t="str">
        <f>HYPERLINK("https://twitter.com/SufridoMurciano/status/1070229661584642049","1070229661584642049")</f>
        <v>1070229661584642049</v>
      </c>
      <c r="F1942" s="15" t="s">
        <v>6684</v>
      </c>
      <c r="G1942" s="11"/>
      <c r="H1942" s="11"/>
      <c r="I1942" s="12">
        <v>0</v>
      </c>
      <c r="J1942" s="12">
        <v>1</v>
      </c>
      <c r="K1942" s="13" t="str">
        <f>HYPERLINK("http://twitter.com","Twitter Web Client")</f>
        <v>Twitter Web Client</v>
      </c>
      <c r="L1942" s="12">
        <v>794</v>
      </c>
      <c r="M1942" s="12">
        <v>1384</v>
      </c>
      <c r="N1942" s="12">
        <v>20</v>
      </c>
      <c r="O1942" s="14"/>
      <c r="P1942" s="6">
        <v>41036.624583333338</v>
      </c>
      <c r="Q1942" s="15" t="s">
        <v>3266</v>
      </c>
      <c r="R1942" s="18"/>
      <c r="S1942" s="16" t="s">
        <v>6685</v>
      </c>
      <c r="T1942" s="11"/>
      <c r="U1942" s="10" t="str">
        <f>HYPERLINK("https://pbs.twimg.com/profile_images/760837421277782016/sgrieBPQ.jpg","View")</f>
        <v>View</v>
      </c>
    </row>
    <row r="1943" spans="1:21" ht="61.2">
      <c r="A1943" s="6">
        <v>43439.382719907408</v>
      </c>
      <c r="B1943" s="7" t="str">
        <f>HYPERLINK("https://twitter.com/vox_es_la_dcha","@vox_es_la_dcha")</f>
        <v>@vox_es_la_dcha</v>
      </c>
      <c r="C1943" s="8" t="s">
        <v>4250</v>
      </c>
      <c r="D1943" s="9" t="s">
        <v>6686</v>
      </c>
      <c r="E1943" s="10" t="str">
        <f>HYPERLINK("https://twitter.com/vox_es_la_dcha/status/1070229062717718529","1070229062717718529")</f>
        <v>1070229062717718529</v>
      </c>
      <c r="F1943" s="11"/>
      <c r="G1943" s="11"/>
      <c r="H1943" s="11"/>
      <c r="I1943" s="12">
        <v>0</v>
      </c>
      <c r="J1943" s="12">
        <v>0</v>
      </c>
      <c r="K1943" s="13" t="str">
        <f>HYPERLINK("http://twitter.com/download/android","Twitter for Android")</f>
        <v>Twitter for Android</v>
      </c>
      <c r="L1943" s="12">
        <v>364</v>
      </c>
      <c r="M1943" s="12">
        <v>1495</v>
      </c>
      <c r="N1943" s="12">
        <v>0</v>
      </c>
      <c r="O1943" s="14"/>
      <c r="P1943" s="6">
        <v>43401.611493055556</v>
      </c>
      <c r="Q1943" s="15" t="s">
        <v>1992</v>
      </c>
      <c r="R1943" s="17" t="s">
        <v>4253</v>
      </c>
      <c r="S1943" s="11"/>
      <c r="T1943" s="11"/>
      <c r="U1943" s="10" t="str">
        <f>HYPERLINK("https://pbs.twimg.com/profile_images/1070084772599422976/rHgX55Ok.jpg","View")</f>
        <v>View</v>
      </c>
    </row>
    <row r="1944" spans="1:21" ht="40.799999999999997">
      <c r="A1944" s="6">
        <v>43439.382002314815</v>
      </c>
      <c r="B1944" s="7" t="str">
        <f>HYPERLINK("https://twitter.com/lextresabogados","@lextresabogados")</f>
        <v>@lextresabogados</v>
      </c>
      <c r="C1944" s="8" t="s">
        <v>672</v>
      </c>
      <c r="D1944" s="9" t="s">
        <v>6687</v>
      </c>
      <c r="E1944" s="10" t="str">
        <f>HYPERLINK("https://twitter.com/lextresabogados/status/1070228805359423488","1070228805359423488")</f>
        <v>1070228805359423488</v>
      </c>
      <c r="F1944" s="16" t="s">
        <v>6688</v>
      </c>
      <c r="G1944" s="11"/>
      <c r="H1944" s="11"/>
      <c r="I1944" s="12">
        <v>0</v>
      </c>
      <c r="J1944" s="12">
        <v>0</v>
      </c>
      <c r="K1944" s="13" t="str">
        <f>HYPERLINK("http://35.180.36.179","botize nueva")</f>
        <v>botize nueva</v>
      </c>
      <c r="L1944" s="12">
        <v>2912</v>
      </c>
      <c r="M1944" s="12">
        <v>3525</v>
      </c>
      <c r="N1944" s="12">
        <v>26</v>
      </c>
      <c r="O1944" s="14"/>
      <c r="P1944" s="6">
        <v>42880.770949074074</v>
      </c>
      <c r="Q1944" s="15" t="s">
        <v>676</v>
      </c>
      <c r="R1944" s="17" t="s">
        <v>677</v>
      </c>
      <c r="S1944" s="16" t="s">
        <v>678</v>
      </c>
      <c r="T1944" s="11"/>
      <c r="U1944" s="10" t="str">
        <f>HYPERLINK("https://pbs.twimg.com/profile_images/1068056978679898113/YnjKwiVy.jpg","View")</f>
        <v>View</v>
      </c>
    </row>
    <row r="1945" spans="1:21" ht="40.799999999999997">
      <c r="A1945" s="6">
        <v>43439.381944444445</v>
      </c>
      <c r="B1945" s="7" t="str">
        <f>HYPERLINK("https://twitter.com/lasprovincias","@lasprovincias")</f>
        <v>@lasprovincias</v>
      </c>
      <c r="C1945" s="8" t="s">
        <v>5660</v>
      </c>
      <c r="D1945" s="9" t="s">
        <v>6689</v>
      </c>
      <c r="E1945" s="10" t="str">
        <f>HYPERLINK("https://twitter.com/lasprovincias/status/1070228782802440197","1070228782802440197")</f>
        <v>1070228782802440197</v>
      </c>
      <c r="F1945" s="16" t="s">
        <v>6688</v>
      </c>
      <c r="G1945" s="11"/>
      <c r="H1945" s="11"/>
      <c r="I1945" s="12">
        <v>1</v>
      </c>
      <c r="J1945" s="12">
        <v>16</v>
      </c>
      <c r="K1945" s="13" t="str">
        <f>HYPERLINK("https://about.twitter.com/products/tweetdeck","TweetDeck")</f>
        <v>TweetDeck</v>
      </c>
      <c r="L1945" s="12">
        <v>171109</v>
      </c>
      <c r="M1945" s="12">
        <v>176</v>
      </c>
      <c r="N1945" s="12">
        <v>1830</v>
      </c>
      <c r="O1945" s="23" t="s">
        <v>89</v>
      </c>
      <c r="P1945" s="6">
        <v>39777.557349537034</v>
      </c>
      <c r="Q1945" s="15" t="s">
        <v>5662</v>
      </c>
      <c r="R1945" s="17" t="s">
        <v>5663</v>
      </c>
      <c r="S1945" s="16" t="s">
        <v>5664</v>
      </c>
      <c r="T1945" s="11"/>
      <c r="U1945" s="10" t="str">
        <f>HYPERLINK("https://pbs.twimg.com/profile_images/875631082082754562/s54cREIc.jpg","View")</f>
        <v>View</v>
      </c>
    </row>
    <row r="1946" spans="1:21" ht="81.599999999999994">
      <c r="A1946" s="6">
        <v>43439.381909722222</v>
      </c>
      <c r="B1946" s="7" t="str">
        <f>HYPERLINK("https://twitter.com/EL00LEON","@EL00LEON")</f>
        <v>@EL00LEON</v>
      </c>
      <c r="C1946" s="8" t="s">
        <v>6690</v>
      </c>
      <c r="D1946" s="9" t="s">
        <v>6691</v>
      </c>
      <c r="E1946" s="10" t="str">
        <f>HYPERLINK("https://twitter.com/EL00LEON/status/1070228770148270080","1070228770148270080")</f>
        <v>1070228770148270080</v>
      </c>
      <c r="F1946" s="16" t="s">
        <v>6692</v>
      </c>
      <c r="G1946" s="16" t="s">
        <v>6693</v>
      </c>
      <c r="H1946" s="11"/>
      <c r="I1946" s="12">
        <v>1</v>
      </c>
      <c r="J1946" s="12">
        <v>3</v>
      </c>
      <c r="K1946" s="13" t="str">
        <f>HYPERLINK("http://twitter.com/download/iphone","Twitter for iPhone")</f>
        <v>Twitter for iPhone</v>
      </c>
      <c r="L1946" s="12">
        <v>662</v>
      </c>
      <c r="M1946" s="12">
        <v>438</v>
      </c>
      <c r="N1946" s="12">
        <v>13</v>
      </c>
      <c r="O1946" s="14"/>
      <c r="P1946" s="6">
        <v>42227.953958333332</v>
      </c>
      <c r="Q1946" s="11"/>
      <c r="R1946" s="18"/>
      <c r="S1946" s="11"/>
      <c r="T1946" s="11"/>
      <c r="U1946" s="10" t="str">
        <f>HYPERLINK("https://pbs.twimg.com/profile_images/631208801664937985/cIjOulWw.jpg","View")</f>
        <v>View</v>
      </c>
    </row>
    <row r="1947" spans="1:21" ht="30.6">
      <c r="A1947" s="6">
        <v>43439.380405092597</v>
      </c>
      <c r="B1947" s="7" t="str">
        <f>HYPERLINK("https://twitter.com/victor7804","@victor7804")</f>
        <v>@victor7804</v>
      </c>
      <c r="C1947" s="8" t="s">
        <v>6694</v>
      </c>
      <c r="D1947" s="9" t="s">
        <v>6695</v>
      </c>
      <c r="E1947" s="10" t="str">
        <f>HYPERLINK("https://twitter.com/victor7804/status/1070228223865352195","1070228223865352195")</f>
        <v>1070228223865352195</v>
      </c>
      <c r="F1947" s="11"/>
      <c r="G1947" s="11"/>
      <c r="H1947" s="11"/>
      <c r="I1947" s="12">
        <v>1</v>
      </c>
      <c r="J1947" s="12">
        <v>1</v>
      </c>
      <c r="K1947" s="13" t="str">
        <f>HYPERLINK("http://twitter.com/download/android","Twitter for Android")</f>
        <v>Twitter for Android</v>
      </c>
      <c r="L1947" s="12">
        <v>191</v>
      </c>
      <c r="M1947" s="12">
        <v>223</v>
      </c>
      <c r="N1947" s="12">
        <v>5</v>
      </c>
      <c r="O1947" s="14"/>
      <c r="P1947" s="6">
        <v>41295.912094907406</v>
      </c>
      <c r="Q1947" s="11"/>
      <c r="R1947" s="17" t="s">
        <v>6696</v>
      </c>
      <c r="S1947" s="11"/>
      <c r="T1947" s="11"/>
      <c r="U1947" s="10" t="str">
        <f>HYPERLINK("https://pbs.twimg.com/profile_images/920808924894330880/zUBDE2Ca.jpg","View")</f>
        <v>View</v>
      </c>
    </row>
    <row r="1948" spans="1:21" ht="61.2">
      <c r="A1948" s="6">
        <v>43439.377129629633</v>
      </c>
      <c r="B1948" s="7" t="str">
        <f>HYPERLINK("https://twitter.com/pasionxespana","@pasionxespana")</f>
        <v>@pasionxespana</v>
      </c>
      <c r="C1948" s="8" t="s">
        <v>3665</v>
      </c>
      <c r="D1948" s="9" t="s">
        <v>6697</v>
      </c>
      <c r="E1948" s="10" t="str">
        <f>HYPERLINK("https://twitter.com/pasionxespana/status/1070227036688580609","1070227036688580609")</f>
        <v>1070227036688580609</v>
      </c>
      <c r="F1948" s="11"/>
      <c r="G1948" s="16" t="s">
        <v>6698</v>
      </c>
      <c r="H1948" s="11"/>
      <c r="I1948" s="12">
        <v>0</v>
      </c>
      <c r="J1948" s="12">
        <v>0</v>
      </c>
      <c r="K1948" s="13" t="str">
        <f>HYPERLINK("https://ifttt.com","IFTTT")</f>
        <v>IFTTT</v>
      </c>
      <c r="L1948" s="12">
        <v>1860</v>
      </c>
      <c r="M1948" s="12">
        <v>3037</v>
      </c>
      <c r="N1948" s="12">
        <v>40</v>
      </c>
      <c r="O1948" s="14"/>
      <c r="P1948" s="6">
        <v>42607.629606481481</v>
      </c>
      <c r="Q1948" s="11"/>
      <c r="R1948" s="17" t="s">
        <v>3669</v>
      </c>
      <c r="S1948" s="16" t="s">
        <v>3670</v>
      </c>
      <c r="T1948" s="11"/>
      <c r="U1948" s="10" t="str">
        <f>HYPERLINK("https://pbs.twimg.com/profile_images/903227976258551808/C6YEfbP_.jpg","View")</f>
        <v>View</v>
      </c>
    </row>
    <row r="1949" spans="1:21" ht="40.799999999999997">
      <c r="A1949" s="6">
        <v>43439.376388888893</v>
      </c>
      <c r="B1949" s="7" t="str">
        <f t="shared" ref="B1949:B1950" si="429">HYPERLINK("https://twitter.com/bitMomentum","@bitMomentum")</f>
        <v>@bitMomentum</v>
      </c>
      <c r="C1949" s="8" t="s">
        <v>82</v>
      </c>
      <c r="D1949" s="9" t="s">
        <v>6699</v>
      </c>
      <c r="E1949" s="10" t="str">
        <f>HYPERLINK("https://twitter.com/bitMomentum/status/1070226768924237824","1070226768924237824")</f>
        <v>1070226768924237824</v>
      </c>
      <c r="F1949" s="11"/>
      <c r="G1949" s="11"/>
      <c r="H1949" s="11"/>
      <c r="I1949" s="12">
        <v>0</v>
      </c>
      <c r="J1949" s="12">
        <v>0</v>
      </c>
      <c r="K1949" s="13" t="str">
        <f t="shared" ref="K1949:K1950" si="430">HYPERLINK("http://www.bitmomentum.com","bitMomentum Bot")</f>
        <v>bitMomentum Bot</v>
      </c>
      <c r="L1949" s="12">
        <v>10253</v>
      </c>
      <c r="M1949" s="12">
        <v>1059</v>
      </c>
      <c r="N1949" s="12">
        <v>263</v>
      </c>
      <c r="O1949" s="14"/>
      <c r="P1949" s="6">
        <v>41608.667511574073</v>
      </c>
      <c r="Q1949" s="11"/>
      <c r="R1949" s="17" t="s">
        <v>84</v>
      </c>
      <c r="S1949" s="16" t="s">
        <v>85</v>
      </c>
      <c r="T1949" s="11"/>
      <c r="U1949" s="10" t="str">
        <f t="shared" ref="U1949:U1950" si="431">HYPERLINK("https://pbs.twimg.com/profile_images/378800000862185241/20ij2H3u.png","View")</f>
        <v>View</v>
      </c>
    </row>
    <row r="1950" spans="1:21" ht="40.799999999999997">
      <c r="A1950" s="6">
        <v>43439.375694444447</v>
      </c>
      <c r="B1950" s="7" t="str">
        <f t="shared" si="429"/>
        <v>@bitMomentum</v>
      </c>
      <c r="C1950" s="8" t="s">
        <v>82</v>
      </c>
      <c r="D1950" s="9" t="s">
        <v>6700</v>
      </c>
      <c r="E1950" s="10" t="str">
        <f>HYPERLINK("https://twitter.com/bitMomentum/status/1070226517068800000","1070226517068800000")</f>
        <v>1070226517068800000</v>
      </c>
      <c r="F1950" s="11"/>
      <c r="G1950" s="11"/>
      <c r="H1950" s="11"/>
      <c r="I1950" s="12">
        <v>0</v>
      </c>
      <c r="J1950" s="12">
        <v>0</v>
      </c>
      <c r="K1950" s="13" t="str">
        <f t="shared" si="430"/>
        <v>bitMomentum Bot</v>
      </c>
      <c r="L1950" s="12">
        <v>10253</v>
      </c>
      <c r="M1950" s="12">
        <v>1059</v>
      </c>
      <c r="N1950" s="12">
        <v>263</v>
      </c>
      <c r="O1950" s="14"/>
      <c r="P1950" s="6">
        <v>41608.667511574073</v>
      </c>
      <c r="Q1950" s="11"/>
      <c r="R1950" s="17" t="s">
        <v>84</v>
      </c>
      <c r="S1950" s="16" t="s">
        <v>85</v>
      </c>
      <c r="T1950" s="11"/>
      <c r="U1950" s="10" t="str">
        <f t="shared" si="431"/>
        <v>View</v>
      </c>
    </row>
    <row r="1951" spans="1:21" ht="40.799999999999997">
      <c r="A1951" s="6">
        <v>43439.373333333337</v>
      </c>
      <c r="B1951" s="7" t="str">
        <f>HYPERLINK("https://twitter.com/CorralesAs","@CorralesAs")</f>
        <v>@CorralesAs</v>
      </c>
      <c r="C1951" s="8" t="s">
        <v>6701</v>
      </c>
      <c r="D1951" s="9" t="s">
        <v>6702</v>
      </c>
      <c r="E1951" s="10" t="str">
        <f>HYPERLINK("https://twitter.com/CorralesAs/status/1070225661506318336","1070225661506318336")</f>
        <v>1070225661506318336</v>
      </c>
      <c r="F1951" s="11"/>
      <c r="G1951" s="11"/>
      <c r="H1951" s="11"/>
      <c r="I1951" s="12">
        <v>1</v>
      </c>
      <c r="J1951" s="12">
        <v>2</v>
      </c>
      <c r="K1951" s="13" t="str">
        <f>HYPERLINK("http://twitter.com/download/android","Twitter for Android")</f>
        <v>Twitter for Android</v>
      </c>
      <c r="L1951" s="12">
        <v>63</v>
      </c>
      <c r="M1951" s="12">
        <v>173</v>
      </c>
      <c r="N1951" s="12">
        <v>0</v>
      </c>
      <c r="O1951" s="14"/>
      <c r="P1951" s="6">
        <v>41808.054282407407</v>
      </c>
      <c r="Q1951" s="11"/>
      <c r="R1951" s="17" t="s">
        <v>6703</v>
      </c>
      <c r="S1951" s="11"/>
      <c r="T1951" s="11"/>
      <c r="U1951" s="10" t="str">
        <f>HYPERLINK("https://pbs.twimg.com/profile_images/1050366080772972545/HngsK-Vp.jpg","View")</f>
        <v>View</v>
      </c>
    </row>
    <row r="1952" spans="1:21" ht="40.799999999999997">
      <c r="A1952" s="6">
        <v>43439.371747685189</v>
      </c>
      <c r="B1952" s="7" t="str">
        <f>HYPERLINK("https://twitter.com/lextresabogados","@lextresabogados")</f>
        <v>@lextresabogados</v>
      </c>
      <c r="C1952" s="8" t="s">
        <v>672</v>
      </c>
      <c r="D1952" s="9" t="s">
        <v>4324</v>
      </c>
      <c r="E1952" s="10" t="str">
        <f>HYPERLINK("https://twitter.com/lextresabogados/status/1070225088027525122","1070225088027525122")</f>
        <v>1070225088027525122</v>
      </c>
      <c r="F1952" s="16" t="s">
        <v>4325</v>
      </c>
      <c r="G1952" s="11"/>
      <c r="H1952" s="11"/>
      <c r="I1952" s="12">
        <v>0</v>
      </c>
      <c r="J1952" s="12">
        <v>0</v>
      </c>
      <c r="K1952" s="13" t="str">
        <f>HYPERLINK("http://35.180.36.179","botize nueva")</f>
        <v>botize nueva</v>
      </c>
      <c r="L1952" s="12">
        <v>2912</v>
      </c>
      <c r="M1952" s="12">
        <v>3525</v>
      </c>
      <c r="N1952" s="12">
        <v>26</v>
      </c>
      <c r="O1952" s="14"/>
      <c r="P1952" s="6">
        <v>42880.770949074074</v>
      </c>
      <c r="Q1952" s="15" t="s">
        <v>676</v>
      </c>
      <c r="R1952" s="17" t="s">
        <v>677</v>
      </c>
      <c r="S1952" s="16" t="s">
        <v>678</v>
      </c>
      <c r="T1952" s="11"/>
      <c r="U1952" s="10" t="str">
        <f>HYPERLINK("https://pbs.twimg.com/profile_images/1068056978679898113/YnjKwiVy.jpg","View")</f>
        <v>View</v>
      </c>
    </row>
    <row r="1953" spans="1:21" ht="40.799999999999997">
      <c r="A1953" s="6">
        <v>43439.371168981481</v>
      </c>
      <c r="B1953" s="7" t="str">
        <f>HYPERLINK("https://twitter.com/emilio19721972","@emilio19721972")</f>
        <v>@emilio19721972</v>
      </c>
      <c r="C1953" s="8" t="s">
        <v>6704</v>
      </c>
      <c r="D1953" s="9" t="s">
        <v>6705</v>
      </c>
      <c r="E1953" s="10" t="str">
        <f>HYPERLINK("https://twitter.com/emilio19721972/status/1070224880497553408","1070224880497553408")</f>
        <v>1070224880497553408</v>
      </c>
      <c r="F1953" s="11"/>
      <c r="G1953" s="16" t="s">
        <v>6706</v>
      </c>
      <c r="H1953" s="11"/>
      <c r="I1953" s="12">
        <v>0</v>
      </c>
      <c r="J1953" s="12">
        <v>1</v>
      </c>
      <c r="K1953" s="13" t="str">
        <f>HYPERLINK("http://twitter.com/download/iphone","Twitter for iPhone")</f>
        <v>Twitter for iPhone</v>
      </c>
      <c r="L1953" s="12">
        <v>1333</v>
      </c>
      <c r="M1953" s="12">
        <v>485</v>
      </c>
      <c r="N1953" s="12">
        <v>31</v>
      </c>
      <c r="O1953" s="14"/>
      <c r="P1953" s="6">
        <v>40712.715949074074</v>
      </c>
      <c r="Q1953" s="15" t="s">
        <v>3767</v>
      </c>
      <c r="R1953" s="17" t="s">
        <v>6707</v>
      </c>
      <c r="S1953" s="11"/>
      <c r="T1953" s="11"/>
      <c r="U1953" s="10" t="str">
        <f>HYPERLINK("https://pbs.twimg.com/profile_images/1016295686357372928/kba7tniN.jpg","View")</f>
        <v>View</v>
      </c>
    </row>
    <row r="1954" spans="1:21" ht="51">
      <c r="A1954" s="6">
        <v>43439.37091435185</v>
      </c>
      <c r="B1954" s="7" t="str">
        <f>HYPERLINK("https://twitter.com/EmilioSantiago7","@EmilioSantiago7")</f>
        <v>@EmilioSantiago7</v>
      </c>
      <c r="C1954" s="8" t="s">
        <v>6708</v>
      </c>
      <c r="D1954" s="9" t="s">
        <v>6709</v>
      </c>
      <c r="E1954" s="10" t="str">
        <f>HYPERLINK("https://twitter.com/EmilioSantiago7/status/1070224785953693696","1070224785953693696")</f>
        <v>1070224785953693696</v>
      </c>
      <c r="F1954" s="16" t="s">
        <v>6710</v>
      </c>
      <c r="G1954" s="11"/>
      <c r="H1954" s="11"/>
      <c r="I1954" s="12">
        <v>0</v>
      </c>
      <c r="J1954" s="12">
        <v>0</v>
      </c>
      <c r="K1954" s="13" t="str">
        <f>HYPERLINK("http://twitter.com/download/android","Twitter for Android")</f>
        <v>Twitter for Android</v>
      </c>
      <c r="L1954" s="12">
        <v>355</v>
      </c>
      <c r="M1954" s="12">
        <v>177</v>
      </c>
      <c r="N1954" s="12">
        <v>5</v>
      </c>
      <c r="O1954" s="14"/>
      <c r="P1954" s="6">
        <v>40854.738321759258</v>
      </c>
      <c r="Q1954" s="11"/>
      <c r="R1954" s="17" t="s">
        <v>6711</v>
      </c>
      <c r="S1954" s="11"/>
      <c r="T1954" s="11"/>
      <c r="U1954" s="10" t="str">
        <f>HYPERLINK("https://pbs.twimg.com/profile_images/1629082391/14052011_012_.jpg","View")</f>
        <v>View</v>
      </c>
    </row>
    <row r="1955" spans="1:21" ht="30.6">
      <c r="A1955" s="6">
        <v>43439.370821759258</v>
      </c>
      <c r="B1955" s="7" t="str">
        <f>HYPERLINK("https://twitter.com/lavozdegalicia","@lavozdegalicia")</f>
        <v>@lavozdegalicia</v>
      </c>
      <c r="C1955" s="8" t="s">
        <v>4343</v>
      </c>
      <c r="D1955" s="9" t="s">
        <v>4344</v>
      </c>
      <c r="E1955" s="10" t="str">
        <f>HYPERLINK("https://twitter.com/lavozdegalicia/status/1070224753041047553","1070224753041047553")</f>
        <v>1070224753041047553</v>
      </c>
      <c r="F1955" s="16" t="s">
        <v>4325</v>
      </c>
      <c r="G1955" s="11"/>
      <c r="H1955" s="11"/>
      <c r="I1955" s="12">
        <v>4</v>
      </c>
      <c r="J1955" s="12">
        <v>12</v>
      </c>
      <c r="K1955" s="13" t="str">
        <f>HYPERLINK("http://dogtrack.es","DogTrack_Oficial")</f>
        <v>DogTrack_Oficial</v>
      </c>
      <c r="L1955" s="12">
        <v>354578</v>
      </c>
      <c r="M1955" s="12">
        <v>165</v>
      </c>
      <c r="N1955" s="12">
        <v>3394</v>
      </c>
      <c r="O1955" s="23" t="s">
        <v>89</v>
      </c>
      <c r="P1955" s="6">
        <v>39941.517291666663</v>
      </c>
      <c r="Q1955" s="15" t="s">
        <v>4345</v>
      </c>
      <c r="R1955" s="17" t="s">
        <v>4346</v>
      </c>
      <c r="S1955" s="16" t="s">
        <v>4347</v>
      </c>
      <c r="T1955" s="11"/>
      <c r="U1955" s="10" t="str">
        <f>HYPERLINK("https://pbs.twimg.com/profile_images/826477228670201856/5qBZ2KTh.jpg","View")</f>
        <v>View</v>
      </c>
    </row>
    <row r="1956" spans="1:21" ht="51">
      <c r="A1956" s="6">
        <v>43439.37018518518</v>
      </c>
      <c r="B1956" s="7" t="str">
        <f>HYPERLINK("https://twitter.com/josguema","@josguema")</f>
        <v>@josguema</v>
      </c>
      <c r="C1956" s="8" t="s">
        <v>6712</v>
      </c>
      <c r="D1956" s="9" t="s">
        <v>6713</v>
      </c>
      <c r="E1956" s="10" t="str">
        <f>HYPERLINK("https://twitter.com/josguema/status/1070224521054040064","1070224521054040064")</f>
        <v>1070224521054040064</v>
      </c>
      <c r="F1956" s="11"/>
      <c r="G1956" s="16" t="s">
        <v>6714</v>
      </c>
      <c r="H1956" s="11"/>
      <c r="I1956" s="12">
        <v>12</v>
      </c>
      <c r="J1956" s="12">
        <v>8</v>
      </c>
      <c r="K1956" s="13" t="str">
        <f t="shared" ref="K1956:K1958" si="432">HYPERLINK("http://twitter.com/download/iphone","Twitter for iPhone")</f>
        <v>Twitter for iPhone</v>
      </c>
      <c r="L1956" s="12">
        <v>4070</v>
      </c>
      <c r="M1956" s="12">
        <v>2815</v>
      </c>
      <c r="N1956" s="12">
        <v>20</v>
      </c>
      <c r="O1956" s="14"/>
      <c r="P1956" s="6">
        <v>39902.805127314816</v>
      </c>
      <c r="Q1956" s="15" t="s">
        <v>6715</v>
      </c>
      <c r="R1956" s="17" t="s">
        <v>6716</v>
      </c>
      <c r="S1956" s="11"/>
      <c r="T1956" s="11"/>
      <c r="U1956" s="10" t="str">
        <f>HYPERLINK("https://pbs.twimg.com/profile_images/2554004906/e6bj9vbukpmawtab7cko.jpeg","View")</f>
        <v>View</v>
      </c>
    </row>
    <row r="1957" spans="1:21" ht="40.799999999999997">
      <c r="A1957" s="6">
        <v>43439.369201388894</v>
      </c>
      <c r="B1957" s="7" t="str">
        <f>HYPERLINK("https://twitter.com/muly_","@muly_")</f>
        <v>@muly_</v>
      </c>
      <c r="C1957" s="8" t="s">
        <v>6717</v>
      </c>
      <c r="D1957" s="9" t="s">
        <v>6718</v>
      </c>
      <c r="E1957" s="10" t="str">
        <f>HYPERLINK("https://twitter.com/muly_/status/1070224165804875776","1070224165804875776")</f>
        <v>1070224165804875776</v>
      </c>
      <c r="F1957" s="11"/>
      <c r="G1957" s="11"/>
      <c r="H1957" s="11"/>
      <c r="I1957" s="12">
        <v>1</v>
      </c>
      <c r="J1957" s="12">
        <v>1</v>
      </c>
      <c r="K1957" s="13" t="str">
        <f t="shared" si="432"/>
        <v>Twitter for iPhone</v>
      </c>
      <c r="L1957" s="12">
        <v>1517</v>
      </c>
      <c r="M1957" s="12">
        <v>778</v>
      </c>
      <c r="N1957" s="12">
        <v>37</v>
      </c>
      <c r="O1957" s="14"/>
      <c r="P1957" s="6">
        <v>40669.073368055557</v>
      </c>
      <c r="Q1957" s="15" t="s">
        <v>4300</v>
      </c>
      <c r="R1957" s="17" t="s">
        <v>6719</v>
      </c>
      <c r="S1957" s="16" t="s">
        <v>6720</v>
      </c>
      <c r="T1957" s="11"/>
      <c r="U1957" s="10" t="str">
        <f>HYPERLINK("https://pbs.twimg.com/profile_images/837573580728709120/mQpcl04u.jpg","View")</f>
        <v>View</v>
      </c>
    </row>
    <row r="1958" spans="1:21" ht="71.400000000000006">
      <c r="A1958" s="6">
        <v>43439.36755787037</v>
      </c>
      <c r="B1958" s="7" t="str">
        <f>HYPERLINK("https://twitter.com/SergiioCCF","@SergiioCCF")</f>
        <v>@SergiioCCF</v>
      </c>
      <c r="C1958" s="8" t="s">
        <v>6721</v>
      </c>
      <c r="D1958" s="9" t="s">
        <v>6722</v>
      </c>
      <c r="E1958" s="10" t="str">
        <f>HYPERLINK("https://twitter.com/SergiioCCF/status/1070223571719479297","1070223571719479297")</f>
        <v>1070223571719479297</v>
      </c>
      <c r="F1958" s="16" t="s">
        <v>6723</v>
      </c>
      <c r="G1958" s="16" t="s">
        <v>6724</v>
      </c>
      <c r="H1958" s="11"/>
      <c r="I1958" s="12">
        <v>0</v>
      </c>
      <c r="J1958" s="12">
        <v>0</v>
      </c>
      <c r="K1958" s="13" t="str">
        <f t="shared" si="432"/>
        <v>Twitter for iPhone</v>
      </c>
      <c r="L1958" s="12">
        <v>306</v>
      </c>
      <c r="M1958" s="12">
        <v>266</v>
      </c>
      <c r="N1958" s="12">
        <v>26</v>
      </c>
      <c r="O1958" s="14"/>
      <c r="P1958" s="6">
        <v>41879.652650462966</v>
      </c>
      <c r="Q1958" s="15" t="s">
        <v>6725</v>
      </c>
      <c r="R1958" s="17" t="s">
        <v>6726</v>
      </c>
      <c r="S1958" s="11"/>
      <c r="T1958" s="11"/>
      <c r="U1958" s="10" t="str">
        <f>HYPERLINK("https://pbs.twimg.com/profile_images/1063923933152505856/83jz6pe4.jpg","View")</f>
        <v>View</v>
      </c>
    </row>
    <row r="1959" spans="1:21" ht="51">
      <c r="A1959" s="6">
        <v>43439.366469907407</v>
      </c>
      <c r="B1959" s="7" t="str">
        <f>HYPERLINK("https://twitter.com/QueNoMeJudas","@QueNoMeJudas")</f>
        <v>@QueNoMeJudas</v>
      </c>
      <c r="C1959" s="8" t="s">
        <v>6273</v>
      </c>
      <c r="D1959" s="9" t="s">
        <v>6727</v>
      </c>
      <c r="E1959" s="10" t="str">
        <f>HYPERLINK("https://twitter.com/QueNoMeJudas/status/1070223175571644416","1070223175571644416")</f>
        <v>1070223175571644416</v>
      </c>
      <c r="F1959" s="11"/>
      <c r="G1959" s="11"/>
      <c r="H1959" s="11"/>
      <c r="I1959" s="12">
        <v>0</v>
      </c>
      <c r="J1959" s="12">
        <v>0</v>
      </c>
      <c r="K1959" s="13" t="str">
        <f>HYPERLINK("http://twitter.com","Twitter Web Client")</f>
        <v>Twitter Web Client</v>
      </c>
      <c r="L1959" s="12">
        <v>222</v>
      </c>
      <c r="M1959" s="12">
        <v>406</v>
      </c>
      <c r="N1959" s="12">
        <v>2</v>
      </c>
      <c r="O1959" s="14"/>
      <c r="P1959" s="6">
        <v>41167.769155092596</v>
      </c>
      <c r="Q1959" s="11"/>
      <c r="R1959" s="17" t="s">
        <v>6275</v>
      </c>
      <c r="S1959" s="11"/>
      <c r="T1959" s="11"/>
      <c r="U1959" s="10" t="str">
        <f>HYPERLINK("https://pbs.twimg.com/profile_images/416507845396271104/guXH0AMv.jpeg","View")</f>
        <v>View</v>
      </c>
    </row>
    <row r="1960" spans="1:21" ht="20.399999999999999">
      <c r="A1960" s="6">
        <v>43439.366053240738</v>
      </c>
      <c r="B1960" s="7" t="str">
        <f>HYPERLINK("https://twitter.com/__mancuso","@__mancuso")</f>
        <v>@__mancuso</v>
      </c>
      <c r="C1960" s="8" t="s">
        <v>6728</v>
      </c>
      <c r="D1960" s="9" t="s">
        <v>6729</v>
      </c>
      <c r="E1960" s="10" t="str">
        <f>HYPERLINK("https://twitter.com/__mancuso/status/1070223026036326401","1070223026036326401")</f>
        <v>1070223026036326401</v>
      </c>
      <c r="F1960" s="11"/>
      <c r="G1960" s="11"/>
      <c r="H1960" s="11"/>
      <c r="I1960" s="12">
        <v>2</v>
      </c>
      <c r="J1960" s="12">
        <v>16</v>
      </c>
      <c r="K1960" s="13" t="str">
        <f t="shared" ref="K1960:K1962" si="433">HYPERLINK("http://twitter.com/download/iphone","Twitter for iPhone")</f>
        <v>Twitter for iPhone</v>
      </c>
      <c r="L1960" s="12">
        <v>3582</v>
      </c>
      <c r="M1960" s="12">
        <v>170</v>
      </c>
      <c r="N1960" s="12">
        <v>87</v>
      </c>
      <c r="O1960" s="14"/>
      <c r="P1960" s="6">
        <v>40615.974351851852</v>
      </c>
      <c r="Q1960" s="15" t="s">
        <v>6730</v>
      </c>
      <c r="R1960" s="17" t="s">
        <v>6731</v>
      </c>
      <c r="S1960" s="11"/>
      <c r="T1960" s="11"/>
      <c r="U1960" s="10" t="str">
        <f>HYPERLINK("https://pbs.twimg.com/profile_images/590448860255932416/j28Vt_kA.jpg","View")</f>
        <v>View</v>
      </c>
    </row>
    <row r="1961" spans="1:21" ht="51">
      <c r="A1961" s="6">
        <v>43439.365706018521</v>
      </c>
      <c r="B1961" s="7" t="str">
        <f>HYPERLINK("https://twitter.com/SEngendro","@SEngendro")</f>
        <v>@SEngendro</v>
      </c>
      <c r="C1961" s="8" t="s">
        <v>6732</v>
      </c>
      <c r="D1961" s="9" t="s">
        <v>6733</v>
      </c>
      <c r="E1961" s="10" t="str">
        <f>HYPERLINK("https://twitter.com/SEngendro/status/1070222896847613952","1070222896847613952")</f>
        <v>1070222896847613952</v>
      </c>
      <c r="F1961" s="16" t="s">
        <v>6072</v>
      </c>
      <c r="G1961" s="11"/>
      <c r="H1961" s="11"/>
      <c r="I1961" s="12">
        <v>0</v>
      </c>
      <c r="J1961" s="12">
        <v>1</v>
      </c>
      <c r="K1961" s="13" t="str">
        <f t="shared" si="433"/>
        <v>Twitter for iPhone</v>
      </c>
      <c r="L1961" s="12">
        <v>348</v>
      </c>
      <c r="M1961" s="12">
        <v>5002</v>
      </c>
      <c r="N1961" s="12">
        <v>0</v>
      </c>
      <c r="O1961" s="14"/>
      <c r="P1961" s="6">
        <v>43346.911990740744</v>
      </c>
      <c r="Q1961" s="15" t="s">
        <v>197</v>
      </c>
      <c r="R1961" s="17" t="s">
        <v>6734</v>
      </c>
      <c r="S1961" s="11"/>
      <c r="T1961" s="11"/>
      <c r="U1961" s="10" t="str">
        <f>HYPERLINK("https://pbs.twimg.com/profile_images/1036707563763654657/6QWJB0Ew.jpg","View")</f>
        <v>View</v>
      </c>
    </row>
    <row r="1962" spans="1:21" ht="40.799999999999997">
      <c r="A1962" s="6">
        <v>43439.362199074079</v>
      </c>
      <c r="B1962" s="7" t="str">
        <f>HYPERLINK("https://twitter.com/migueldeandres","@migueldeandres")</f>
        <v>@migueldeandres</v>
      </c>
      <c r="C1962" s="8" t="s">
        <v>6735</v>
      </c>
      <c r="D1962" s="9" t="s">
        <v>6736</v>
      </c>
      <c r="E1962" s="10" t="str">
        <f>HYPERLINK("https://twitter.com/migueldeandres/status/1070221625788899328","1070221625788899328")</f>
        <v>1070221625788899328</v>
      </c>
      <c r="F1962" s="11"/>
      <c r="G1962" s="11"/>
      <c r="H1962" s="11"/>
      <c r="I1962" s="12">
        <v>0</v>
      </c>
      <c r="J1962" s="12">
        <v>1</v>
      </c>
      <c r="K1962" s="13" t="str">
        <f t="shared" si="433"/>
        <v>Twitter for iPhone</v>
      </c>
      <c r="L1962" s="12">
        <v>1171</v>
      </c>
      <c r="M1962" s="12">
        <v>629</v>
      </c>
      <c r="N1962" s="12">
        <v>75</v>
      </c>
      <c r="O1962" s="14"/>
      <c r="P1962" s="6">
        <v>40024.945150462961</v>
      </c>
      <c r="Q1962" s="15" t="s">
        <v>6737</v>
      </c>
      <c r="R1962" s="17" t="s">
        <v>6738</v>
      </c>
      <c r="S1962" s="16" t="s">
        <v>6739</v>
      </c>
      <c r="T1962" s="11"/>
      <c r="U1962" s="10" t="str">
        <f>HYPERLINK("https://pbs.twimg.com/profile_images/521616645081411586/Jv-UH8D8.jpeg","View")</f>
        <v>View</v>
      </c>
    </row>
    <row r="1963" spans="1:21" ht="40.799999999999997">
      <c r="A1963" s="6">
        <v>43439.361111111109</v>
      </c>
      <c r="B1963" s="7" t="str">
        <f>HYPERLINK("https://twitter.com/diariovasco","@diariovasco")</f>
        <v>@diariovasco</v>
      </c>
      <c r="C1963" s="8" t="s">
        <v>4393</v>
      </c>
      <c r="D1963" s="9" t="s">
        <v>6740</v>
      </c>
      <c r="E1963" s="10" t="str">
        <f>HYPERLINK("https://twitter.com/diariovasco/status/1070221233206296577","1070221233206296577")</f>
        <v>1070221233206296577</v>
      </c>
      <c r="F1963" s="16" t="s">
        <v>6741</v>
      </c>
      <c r="G1963" s="11"/>
      <c r="H1963" s="11"/>
      <c r="I1963" s="12">
        <v>0</v>
      </c>
      <c r="J1963" s="12">
        <v>0</v>
      </c>
      <c r="K1963" s="13" t="str">
        <f>HYPERLINK("http://dogtrack.es","DogTrack_Oficial")</f>
        <v>DogTrack_Oficial</v>
      </c>
      <c r="L1963" s="12">
        <v>76565</v>
      </c>
      <c r="M1963" s="12">
        <v>882</v>
      </c>
      <c r="N1963" s="12">
        <v>1316</v>
      </c>
      <c r="O1963" s="23" t="s">
        <v>89</v>
      </c>
      <c r="P1963" s="6">
        <v>39542.815335648149</v>
      </c>
      <c r="Q1963" s="15" t="s">
        <v>4396</v>
      </c>
      <c r="R1963" s="17" t="s">
        <v>4397</v>
      </c>
      <c r="S1963" s="16" t="s">
        <v>4398</v>
      </c>
      <c r="T1963" s="11"/>
      <c r="U1963" s="10" t="str">
        <f>HYPERLINK("https://pbs.twimg.com/profile_images/972010219600359425/oUPn-qlC.jpg","View")</f>
        <v>View</v>
      </c>
    </row>
    <row r="1964" spans="1:21" ht="61.2">
      <c r="A1964" s="6">
        <v>43439.361018518517</v>
      </c>
      <c r="B1964" s="7" t="str">
        <f>HYPERLINK("https://twitter.com/emigdioherrero","@emigdioherrero")</f>
        <v>@emigdioherrero</v>
      </c>
      <c r="C1964" s="8" t="s">
        <v>6742</v>
      </c>
      <c r="D1964" s="9" t="s">
        <v>6743</v>
      </c>
      <c r="E1964" s="10" t="str">
        <f>HYPERLINK("https://twitter.com/emigdioherrero/status/1070221201962864640","1070221201962864640")</f>
        <v>1070221201962864640</v>
      </c>
      <c r="F1964" s="11"/>
      <c r="G1964" s="16" t="s">
        <v>6744</v>
      </c>
      <c r="H1964" s="11"/>
      <c r="I1964" s="12">
        <v>0</v>
      </c>
      <c r="J1964" s="12">
        <v>0</v>
      </c>
      <c r="K1964" s="13" t="str">
        <f t="shared" ref="K1964:K1965" si="434">HYPERLINK("http://twitter.com/download/android","Twitter for Android")</f>
        <v>Twitter for Android</v>
      </c>
      <c r="L1964" s="12">
        <v>23038</v>
      </c>
      <c r="M1964" s="12">
        <v>243</v>
      </c>
      <c r="N1964" s="12">
        <v>276</v>
      </c>
      <c r="O1964" s="14"/>
      <c r="P1964" s="6">
        <v>41031.782337962963</v>
      </c>
      <c r="Q1964" s="15" t="s">
        <v>6745</v>
      </c>
      <c r="R1964" s="17" t="s">
        <v>6746</v>
      </c>
      <c r="S1964" s="11"/>
      <c r="T1964" s="11"/>
      <c r="U1964" s="10" t="str">
        <f>HYPERLINK("https://pbs.twimg.com/profile_images/1071130366218518528/zd67seeR.jpg","View")</f>
        <v>View</v>
      </c>
    </row>
    <row r="1965" spans="1:21" ht="51">
      <c r="A1965" s="6">
        <v>43439.360682870371</v>
      </c>
      <c r="B1965" s="7" t="str">
        <f>HYPERLINK("https://twitter.com/Hayek_2017","@Hayek_2017")</f>
        <v>@Hayek_2017</v>
      </c>
      <c r="C1965" s="8" t="s">
        <v>6747</v>
      </c>
      <c r="D1965" s="9" t="s">
        <v>6748</v>
      </c>
      <c r="E1965" s="10" t="str">
        <f>HYPERLINK("https://twitter.com/Hayek_2017/status/1070221077035540480","1070221077035540480")</f>
        <v>1070221077035540480</v>
      </c>
      <c r="F1965" s="16" t="s">
        <v>6749</v>
      </c>
      <c r="G1965" s="11"/>
      <c r="H1965" s="11"/>
      <c r="I1965" s="12">
        <v>0</v>
      </c>
      <c r="J1965" s="12">
        <v>0</v>
      </c>
      <c r="K1965" s="13" t="str">
        <f t="shared" si="434"/>
        <v>Twitter for Android</v>
      </c>
      <c r="L1965" s="12">
        <v>498</v>
      </c>
      <c r="M1965" s="12">
        <v>231</v>
      </c>
      <c r="N1965" s="12">
        <v>8</v>
      </c>
      <c r="O1965" s="14"/>
      <c r="P1965" s="6">
        <v>43016.957094907411</v>
      </c>
      <c r="Q1965" s="15" t="s">
        <v>6750</v>
      </c>
      <c r="R1965" s="17" t="s">
        <v>6751</v>
      </c>
      <c r="S1965" s="11"/>
      <c r="T1965" s="11"/>
      <c r="U1965" s="10" t="str">
        <f>HYPERLINK("https://pbs.twimg.com/profile_images/1064919856301060096/kmwnygBn.jpg","View")</f>
        <v>View</v>
      </c>
    </row>
    <row r="1966" spans="1:21" ht="30.6">
      <c r="A1966" s="6">
        <v>43439.356944444444</v>
      </c>
      <c r="B1966" s="7" t="str">
        <f>HYPERLINK("https://twitter.com/BruceWa17249174","@BruceWa17249174")</f>
        <v>@BruceWa17249174</v>
      </c>
      <c r="C1966" s="8" t="s">
        <v>3866</v>
      </c>
      <c r="D1966" s="9" t="s">
        <v>6752</v>
      </c>
      <c r="E1966" s="10" t="str">
        <f>HYPERLINK("https://twitter.com/BruceWa17249174/status/1070219722153693184","1070219722153693184")</f>
        <v>1070219722153693184</v>
      </c>
      <c r="F1966" s="11"/>
      <c r="G1966" s="11"/>
      <c r="H1966" s="11"/>
      <c r="I1966" s="12">
        <v>0</v>
      </c>
      <c r="J1966" s="12">
        <v>1</v>
      </c>
      <c r="K1966" s="13" t="str">
        <f>HYPERLINK("http://twitter.com/download/iphone","Twitter for iPhone")</f>
        <v>Twitter for iPhone</v>
      </c>
      <c r="L1966" s="12">
        <v>6</v>
      </c>
      <c r="M1966" s="12">
        <v>39</v>
      </c>
      <c r="N1966" s="12">
        <v>0</v>
      </c>
      <c r="O1966" s="14"/>
      <c r="P1966" s="6">
        <v>43435.807986111111</v>
      </c>
      <c r="Q1966" s="15" t="s">
        <v>25</v>
      </c>
      <c r="R1966" s="17" t="s">
        <v>3868</v>
      </c>
      <c r="S1966" s="11"/>
      <c r="T1966" s="11"/>
      <c r="U1966" s="10" t="str">
        <f>HYPERLINK("https://pbs.twimg.com/profile_images/1068934201079226368/4x4yDvr5.jpg","View")</f>
        <v>View</v>
      </c>
    </row>
    <row r="1967" spans="1:21" ht="40.799999999999997">
      <c r="A1967" s="6">
        <v>43439.356006944443</v>
      </c>
      <c r="B1967" s="7" t="str">
        <f>HYPERLINK("https://twitter.com/Go_Vlad_Impaler","@Go_Vlad_Impaler")</f>
        <v>@Go_Vlad_Impaler</v>
      </c>
      <c r="C1967" s="8" t="s">
        <v>6753</v>
      </c>
      <c r="D1967" s="9" t="s">
        <v>6754</v>
      </c>
      <c r="E1967" s="10" t="str">
        <f>HYPERLINK("https://twitter.com/Go_Vlad_Impaler/status/1070219383929274368","1070219383929274368")</f>
        <v>1070219383929274368</v>
      </c>
      <c r="F1967" s="16" t="s">
        <v>6072</v>
      </c>
      <c r="G1967" s="11"/>
      <c r="H1967" s="11"/>
      <c r="I1967" s="12">
        <v>0</v>
      </c>
      <c r="J1967" s="12">
        <v>0</v>
      </c>
      <c r="K1967" s="13" t="str">
        <f t="shared" ref="K1967:K1969" si="435">HYPERLINK("http://twitter.com/download/android","Twitter for Android")</f>
        <v>Twitter for Android</v>
      </c>
      <c r="L1967" s="12">
        <v>11</v>
      </c>
      <c r="M1967" s="12">
        <v>14</v>
      </c>
      <c r="N1967" s="12">
        <v>0</v>
      </c>
      <c r="O1967" s="14"/>
      <c r="P1967" s="6">
        <v>43192.580995370372</v>
      </c>
      <c r="Q1967" s="15" t="s">
        <v>6755</v>
      </c>
      <c r="R1967" s="17" t="s">
        <v>6756</v>
      </c>
      <c r="S1967" s="11"/>
      <c r="T1967" s="11"/>
      <c r="U1967" s="10" t="str">
        <f>HYPERLINK("https://pbs.twimg.com/profile_images/980779031955197953/gpMw3yrg.jpg","View")</f>
        <v>View</v>
      </c>
    </row>
    <row r="1968" spans="1:21" ht="20.399999999999999">
      <c r="A1968" s="6">
        <v>43439.354421296295</v>
      </c>
      <c r="B1968" s="7" t="str">
        <f>HYPERLINK("https://twitter.com/Garrapaterou","@Garrapaterou")</f>
        <v>@Garrapaterou</v>
      </c>
      <c r="C1968" s="8" t="s">
        <v>6757</v>
      </c>
      <c r="D1968" s="9" t="s">
        <v>6758</v>
      </c>
      <c r="E1968" s="10" t="str">
        <f>HYPERLINK("https://twitter.com/Garrapaterou/status/1070218808449818625","1070218808449818625")</f>
        <v>1070218808449818625</v>
      </c>
      <c r="F1968" s="16" t="s">
        <v>6759</v>
      </c>
      <c r="G1968" s="11"/>
      <c r="H1968" s="11"/>
      <c r="I1968" s="12">
        <v>1</v>
      </c>
      <c r="J1968" s="12">
        <v>3</v>
      </c>
      <c r="K1968" s="13" t="str">
        <f t="shared" si="435"/>
        <v>Twitter for Android</v>
      </c>
      <c r="L1968" s="12">
        <v>402</v>
      </c>
      <c r="M1968" s="12">
        <v>1452</v>
      </c>
      <c r="N1968" s="12">
        <v>6</v>
      </c>
      <c r="O1968" s="14"/>
      <c r="P1968" s="6">
        <v>41123.713842592595</v>
      </c>
      <c r="Q1968" s="15" t="s">
        <v>6760</v>
      </c>
      <c r="R1968" s="17" t="s">
        <v>6761</v>
      </c>
      <c r="S1968" s="11"/>
      <c r="T1968" s="11"/>
      <c r="U1968" s="10" t="str">
        <f>HYPERLINK("https://pbs.twimg.com/profile_images/731139923345063936/4fQE7mf6.jpg","View")</f>
        <v>View</v>
      </c>
    </row>
    <row r="1969" spans="1:21" ht="51">
      <c r="A1969" s="6">
        <v>43439.347453703704</v>
      </c>
      <c r="B1969" s="7" t="str">
        <f>HYPERLINK("https://twitter.com/ANTPODEMOS","@ANTPODEMOS")</f>
        <v>@ANTPODEMOS</v>
      </c>
      <c r="C1969" s="8" t="s">
        <v>5646</v>
      </c>
      <c r="D1969" s="9" t="s">
        <v>6762</v>
      </c>
      <c r="E1969" s="10" t="str">
        <f>HYPERLINK("https://twitter.com/ANTPODEMOS/status/1070216286137933824","1070216286137933824")</f>
        <v>1070216286137933824</v>
      </c>
      <c r="F1969" s="16" t="s">
        <v>5767</v>
      </c>
      <c r="G1969" s="11"/>
      <c r="H1969" s="11"/>
      <c r="I1969" s="12">
        <v>83</v>
      </c>
      <c r="J1969" s="12">
        <v>85</v>
      </c>
      <c r="K1969" s="13" t="str">
        <f t="shared" si="435"/>
        <v>Twitter for Android</v>
      </c>
      <c r="L1969" s="12">
        <v>5585</v>
      </c>
      <c r="M1969" s="12">
        <v>426</v>
      </c>
      <c r="N1969" s="12">
        <v>58</v>
      </c>
      <c r="O1969" s="14"/>
      <c r="P1969" s="6">
        <v>41956.204837962963</v>
      </c>
      <c r="Q1969" s="15" t="s">
        <v>197</v>
      </c>
      <c r="R1969" s="17" t="s">
        <v>5648</v>
      </c>
      <c r="S1969" s="16" t="s">
        <v>5649</v>
      </c>
      <c r="T1969" s="11"/>
      <c r="U1969" s="10" t="str">
        <f>HYPERLINK("https://pbs.twimg.com/profile_images/952681544224854017/rVAhotfW.jpg","View")</f>
        <v>View</v>
      </c>
    </row>
    <row r="1970" spans="1:21" ht="40.799999999999997">
      <c r="A1970" s="6">
        <v>43439.346585648149</v>
      </c>
      <c r="B1970" s="7" t="str">
        <f>HYPERLINK("https://twitter.com/CorsariodHierro","@CorsariodHierro")</f>
        <v>@CorsariodHierro</v>
      </c>
      <c r="C1970" s="8" t="s">
        <v>4474</v>
      </c>
      <c r="D1970" s="9" t="s">
        <v>6763</v>
      </c>
      <c r="E1970" s="10" t="str">
        <f>HYPERLINK("https://twitter.com/CorsariodHierro/status/1070215971275767808","1070215971275767808")</f>
        <v>1070215971275767808</v>
      </c>
      <c r="F1970" s="16" t="s">
        <v>6764</v>
      </c>
      <c r="G1970" s="11"/>
      <c r="H1970" s="11"/>
      <c r="I1970" s="12">
        <v>0</v>
      </c>
      <c r="J1970" s="12">
        <v>0</v>
      </c>
      <c r="K1970" s="13" t="str">
        <f>HYPERLINK("http://twitter.com","Twitter Web Client")</f>
        <v>Twitter Web Client</v>
      </c>
      <c r="L1970" s="12">
        <v>87</v>
      </c>
      <c r="M1970" s="12">
        <v>141</v>
      </c>
      <c r="N1970" s="12">
        <v>0</v>
      </c>
      <c r="O1970" s="14"/>
      <c r="P1970" s="6">
        <v>40246.575590277775</v>
      </c>
      <c r="Q1970" s="11"/>
      <c r="R1970" s="17" t="s">
        <v>4477</v>
      </c>
      <c r="S1970" s="11"/>
      <c r="T1970" s="11"/>
      <c r="U1970" s="10" t="str">
        <f>HYPERLINK("https://pbs.twimg.com/profile_images/1051397975581306880/srLVBC-V.jpg","View")</f>
        <v>View</v>
      </c>
    </row>
    <row r="1971" spans="1:21" ht="40.799999999999997">
      <c r="A1971" s="6">
        <v>43439.345671296294</v>
      </c>
      <c r="B1971" s="7" t="str">
        <f>HYPERLINK("https://twitter.com/CwhRoss","@CwhRoss")</f>
        <v>@CwhRoss</v>
      </c>
      <c r="C1971" s="8" t="s">
        <v>3205</v>
      </c>
      <c r="D1971" s="9" t="s">
        <v>6765</v>
      </c>
      <c r="E1971" s="10" t="str">
        <f>HYPERLINK("https://twitter.com/CwhRoss/status/1070215639967694848","1070215639967694848")</f>
        <v>1070215639967694848</v>
      </c>
      <c r="F1971" s="16" t="s">
        <v>6766</v>
      </c>
      <c r="G1971" s="11"/>
      <c r="H1971" s="11"/>
      <c r="I1971" s="12">
        <v>0</v>
      </c>
      <c r="J1971" s="12">
        <v>0</v>
      </c>
      <c r="K1971" s="13" t="str">
        <f>HYPERLINK("http://www.facebook.com/twitter","Facebook")</f>
        <v>Facebook</v>
      </c>
      <c r="L1971" s="12">
        <v>170</v>
      </c>
      <c r="M1971" s="12">
        <v>2</v>
      </c>
      <c r="N1971" s="12">
        <v>45</v>
      </c>
      <c r="O1971" s="14"/>
      <c r="P1971" s="6">
        <v>41008.781701388885</v>
      </c>
      <c r="Q1971" s="15" t="s">
        <v>3208</v>
      </c>
      <c r="R1971" s="25" t="s">
        <v>3209</v>
      </c>
      <c r="S1971" s="16" t="s">
        <v>3210</v>
      </c>
      <c r="T1971" s="11"/>
      <c r="U1971" s="10" t="str">
        <f>HYPERLINK("https://pbs.twimg.com/profile_images/2076887937/Copy_of_cerdo_con_maciza.jpg","View")</f>
        <v>View</v>
      </c>
    </row>
    <row r="1972" spans="1:21" ht="51">
      <c r="A1972" s="6">
        <v>43439.345451388886</v>
      </c>
      <c r="B1972" s="7" t="str">
        <f>HYPERLINK("https://twitter.com/e_jabato","@e_jabato")</f>
        <v>@e_jabato</v>
      </c>
      <c r="C1972" s="8" t="s">
        <v>6767</v>
      </c>
      <c r="D1972" s="9" t="s">
        <v>6768</v>
      </c>
      <c r="E1972" s="10" t="str">
        <f>HYPERLINK("https://twitter.com/e_jabato/status/1070215557553758208","1070215557553758208")</f>
        <v>1070215557553758208</v>
      </c>
      <c r="F1972" s="11"/>
      <c r="G1972" s="11"/>
      <c r="H1972" s="11"/>
      <c r="I1972" s="12">
        <v>0</v>
      </c>
      <c r="J1972" s="12">
        <v>0</v>
      </c>
      <c r="K1972" s="13" t="str">
        <f>HYPERLINK("http://twitter.com/download/iphone","Twitter for iPhone")</f>
        <v>Twitter for iPhone</v>
      </c>
      <c r="L1972" s="12">
        <v>61</v>
      </c>
      <c r="M1972" s="12">
        <v>286</v>
      </c>
      <c r="N1972" s="12">
        <v>0</v>
      </c>
      <c r="O1972" s="14"/>
      <c r="P1972" s="6">
        <v>43025.597013888888</v>
      </c>
      <c r="Q1972" s="15" t="s">
        <v>1092</v>
      </c>
      <c r="R1972" s="17" t="s">
        <v>6769</v>
      </c>
      <c r="S1972" s="11"/>
      <c r="T1972" s="11"/>
      <c r="U1972" s="10" t="str">
        <f>HYPERLINK("https://pbs.twimg.com/profile_images/1069700117404508160/z4Mp_7Lx.jpg","View")</f>
        <v>View</v>
      </c>
    </row>
    <row r="1973" spans="1:21" ht="51">
      <c r="A1973" s="6">
        <v>43439.342800925922</v>
      </c>
      <c r="B1973" s="7" t="str">
        <f>HYPERLINK("https://twitter.com/SiendoRealista3","@SiendoRealista3")</f>
        <v>@SiendoRealista3</v>
      </c>
      <c r="C1973" s="8" t="s">
        <v>6770</v>
      </c>
      <c r="D1973" s="9" t="s">
        <v>6771</v>
      </c>
      <c r="E1973" s="10" t="str">
        <f>HYPERLINK("https://twitter.com/SiendoRealista3/status/1070214598777802752","1070214598777802752")</f>
        <v>1070214598777802752</v>
      </c>
      <c r="F1973" s="11"/>
      <c r="G1973" s="11"/>
      <c r="H1973" s="11"/>
      <c r="I1973" s="12">
        <v>0</v>
      </c>
      <c r="J1973" s="12">
        <v>0</v>
      </c>
      <c r="K1973" s="13" t="str">
        <f t="shared" ref="K1973:K1974" si="436">HYPERLINK("http://twitter.com/download/android","Twitter for Android")</f>
        <v>Twitter for Android</v>
      </c>
      <c r="L1973" s="12">
        <v>13</v>
      </c>
      <c r="M1973" s="12">
        <v>35</v>
      </c>
      <c r="N1973" s="12">
        <v>0</v>
      </c>
      <c r="O1973" s="14"/>
      <c r="P1973" s="6">
        <v>43415.720127314809</v>
      </c>
      <c r="Q1973" s="15" t="s">
        <v>197</v>
      </c>
      <c r="R1973" s="17" t="s">
        <v>6772</v>
      </c>
      <c r="S1973" s="11"/>
      <c r="T1973" s="11"/>
      <c r="U1973" s="10" t="str">
        <f>HYPERLINK("https://pbs.twimg.com/profile_images/1061655441590181890/woCJAsJF.jpg","View")</f>
        <v>View</v>
      </c>
    </row>
    <row r="1974" spans="1:21" ht="51">
      <c r="A1974" s="6">
        <v>43439.340844907405</v>
      </c>
      <c r="B1974" s="7" t="str">
        <f>HYPERLINK("https://twitter.com/Agus_Martinez58","@Agus_Martinez58")</f>
        <v>@Agus_Martinez58</v>
      </c>
      <c r="C1974" s="8" t="s">
        <v>6773</v>
      </c>
      <c r="D1974" s="9" t="s">
        <v>6774</v>
      </c>
      <c r="E1974" s="10" t="str">
        <f>HYPERLINK("https://twitter.com/Agus_Martinez58/status/1070213888162099200","1070213888162099200")</f>
        <v>1070213888162099200</v>
      </c>
      <c r="F1974" s="11"/>
      <c r="G1974" s="11"/>
      <c r="H1974" s="11"/>
      <c r="I1974" s="12">
        <v>173</v>
      </c>
      <c r="J1974" s="12">
        <v>243</v>
      </c>
      <c r="K1974" s="13" t="str">
        <f t="shared" si="436"/>
        <v>Twitter for Android</v>
      </c>
      <c r="L1974" s="12">
        <v>72944</v>
      </c>
      <c r="M1974" s="12">
        <v>77511</v>
      </c>
      <c r="N1974" s="12">
        <v>739</v>
      </c>
      <c r="O1974" s="14"/>
      <c r="P1974" s="6">
        <v>40837.430879629632</v>
      </c>
      <c r="Q1974" s="11"/>
      <c r="R1974" s="17" t="s">
        <v>6775</v>
      </c>
      <c r="S1974" s="16" t="s">
        <v>6776</v>
      </c>
      <c r="T1974" s="11"/>
      <c r="U1974" s="10" t="str">
        <f>HYPERLINK("https://pbs.twimg.com/profile_images/566338784174698500/NsqtO7Us.png","View")</f>
        <v>View</v>
      </c>
    </row>
    <row r="1975" spans="1:21" ht="40.799999999999997">
      <c r="A1975" s="6">
        <v>43439.338171296295</v>
      </c>
      <c r="B1975" s="7" t="str">
        <f>HYPERLINK("https://twitter.com/trendinaliaES","@trendinaliaES")</f>
        <v>@trendinaliaES</v>
      </c>
      <c r="C1975" s="8" t="s">
        <v>653</v>
      </c>
      <c r="D1975" s="9" t="s">
        <v>6777</v>
      </c>
      <c r="E1975" s="10" t="str">
        <f>HYPERLINK("https://twitter.com/trendinaliaES/status/1070212918577311744","1070212918577311744")</f>
        <v>1070212918577311744</v>
      </c>
      <c r="F1975" s="16" t="s">
        <v>6778</v>
      </c>
      <c r="G1975" s="11"/>
      <c r="H1975" s="11" t="str">
        <f>HYPERLINK("https://ctrlq.org/maps/address/#40.4203,-3.7058","Map")</f>
        <v>Map</v>
      </c>
      <c r="I1975" s="12">
        <v>0</v>
      </c>
      <c r="J1975" s="12">
        <v>1</v>
      </c>
      <c r="K1975" s="13" t="str">
        <f>HYPERLINK("http://laconversa.com","Es Tendencia en España")</f>
        <v>Es Tendencia en España</v>
      </c>
      <c r="L1975" s="12">
        <v>49257</v>
      </c>
      <c r="M1975" s="12">
        <v>34</v>
      </c>
      <c r="N1975" s="12">
        <v>722</v>
      </c>
      <c r="O1975" s="23" t="s">
        <v>89</v>
      </c>
      <c r="P1975" s="6">
        <v>41319.819074074076</v>
      </c>
      <c r="Q1975" s="15" t="s">
        <v>197</v>
      </c>
      <c r="R1975" s="17" t="s">
        <v>656</v>
      </c>
      <c r="S1975" s="16" t="s">
        <v>657</v>
      </c>
      <c r="T1975" s="11"/>
      <c r="U1975" s="10" t="str">
        <f>HYPERLINK("https://pbs.twimg.com/profile_images/696485210821632000/xpdMQ_mE.png","View")</f>
        <v>View</v>
      </c>
    </row>
    <row r="1976" spans="1:21" ht="102">
      <c r="A1976" s="6">
        <v>43439.334768518514</v>
      </c>
      <c r="B1976" s="7" t="str">
        <f>HYPERLINK("https://twitter.com/FG72373327","@FG72373327")</f>
        <v>@FG72373327</v>
      </c>
      <c r="C1976" s="8" t="s">
        <v>2097</v>
      </c>
      <c r="D1976" s="9" t="s">
        <v>6779</v>
      </c>
      <c r="E1976" s="10" t="str">
        <f>HYPERLINK("https://twitter.com/FG72373327/status/1070211687607754752","1070211687607754752")</f>
        <v>1070211687607754752</v>
      </c>
      <c r="F1976" s="16" t="s">
        <v>6780</v>
      </c>
      <c r="G1976" s="16" t="s">
        <v>6781</v>
      </c>
      <c r="H1976" s="11"/>
      <c r="I1976" s="12">
        <v>2</v>
      </c>
      <c r="J1976" s="12">
        <v>1</v>
      </c>
      <c r="K1976" s="13" t="str">
        <f>HYPERLINK("http://twitter.com/download/iphone","Twitter for iPhone")</f>
        <v>Twitter for iPhone</v>
      </c>
      <c r="L1976" s="12">
        <v>888</v>
      </c>
      <c r="M1976" s="12">
        <v>926</v>
      </c>
      <c r="N1976" s="12">
        <v>6</v>
      </c>
      <c r="O1976" s="14"/>
      <c r="P1976" s="6">
        <v>42977.396006944444</v>
      </c>
      <c r="Q1976" s="15" t="s">
        <v>185</v>
      </c>
      <c r="R1976" s="18"/>
      <c r="S1976" s="11"/>
      <c r="T1976" s="11"/>
      <c r="U1976" s="10" t="str">
        <f>HYPERLINK("https://pbs.twimg.com/profile_images/902802729009111040/RUuGyEn7.jpg","View")</f>
        <v>View</v>
      </c>
    </row>
    <row r="1977" spans="1:21" ht="51">
      <c r="A1977" s="6">
        <v>43439.334722222222</v>
      </c>
      <c r="B1977" s="7" t="str">
        <f t="shared" ref="B1977:B1978" si="437">HYPERLINK("https://twitter.com/bitMomentum","@bitMomentum")</f>
        <v>@bitMomentum</v>
      </c>
      <c r="C1977" s="8" t="s">
        <v>82</v>
      </c>
      <c r="D1977" s="9" t="s">
        <v>6782</v>
      </c>
      <c r="E1977" s="10" t="str">
        <f>HYPERLINK("https://twitter.com/bitMomentum/status/1070211669253652480","1070211669253652480")</f>
        <v>1070211669253652480</v>
      </c>
      <c r="F1977" s="11"/>
      <c r="G1977" s="11"/>
      <c r="H1977" s="11"/>
      <c r="I1977" s="12">
        <v>0</v>
      </c>
      <c r="J1977" s="12">
        <v>0</v>
      </c>
      <c r="K1977" s="13" t="str">
        <f t="shared" ref="K1977:K1978" si="438">HYPERLINK("http://www.bitmomentum.com","bitMomentum Bot")</f>
        <v>bitMomentum Bot</v>
      </c>
      <c r="L1977" s="12">
        <v>10253</v>
      </c>
      <c r="M1977" s="12">
        <v>1059</v>
      </c>
      <c r="N1977" s="12">
        <v>263</v>
      </c>
      <c r="O1977" s="14"/>
      <c r="P1977" s="6">
        <v>41608.667511574073</v>
      </c>
      <c r="Q1977" s="11"/>
      <c r="R1977" s="17" t="s">
        <v>84</v>
      </c>
      <c r="S1977" s="16" t="s">
        <v>85</v>
      </c>
      <c r="T1977" s="11"/>
      <c r="U1977" s="10" t="str">
        <f t="shared" ref="U1977:U1978" si="439">HYPERLINK("https://pbs.twimg.com/profile_images/378800000862185241/20ij2H3u.png","View")</f>
        <v>View</v>
      </c>
    </row>
    <row r="1978" spans="1:21" ht="51">
      <c r="A1978" s="6">
        <v>43439.334027777775</v>
      </c>
      <c r="B1978" s="7" t="str">
        <f t="shared" si="437"/>
        <v>@bitMomentum</v>
      </c>
      <c r="C1978" s="8" t="s">
        <v>82</v>
      </c>
      <c r="D1978" s="9" t="s">
        <v>6783</v>
      </c>
      <c r="E1978" s="10" t="str">
        <f>HYPERLINK("https://twitter.com/bitMomentum/status/1070211417658269696","1070211417658269696")</f>
        <v>1070211417658269696</v>
      </c>
      <c r="F1978" s="11"/>
      <c r="G1978" s="11"/>
      <c r="H1978" s="11"/>
      <c r="I1978" s="12">
        <v>0</v>
      </c>
      <c r="J1978" s="12">
        <v>0</v>
      </c>
      <c r="K1978" s="13" t="str">
        <f t="shared" si="438"/>
        <v>bitMomentum Bot</v>
      </c>
      <c r="L1978" s="12">
        <v>10253</v>
      </c>
      <c r="M1978" s="12">
        <v>1059</v>
      </c>
      <c r="N1978" s="12">
        <v>263</v>
      </c>
      <c r="O1978" s="14"/>
      <c r="P1978" s="6">
        <v>41608.667511574073</v>
      </c>
      <c r="Q1978" s="11"/>
      <c r="R1978" s="17" t="s">
        <v>84</v>
      </c>
      <c r="S1978" s="16" t="s">
        <v>85</v>
      </c>
      <c r="T1978" s="11"/>
      <c r="U1978" s="10" t="str">
        <f t="shared" si="439"/>
        <v>View</v>
      </c>
    </row>
    <row r="1979" spans="1:21" ht="61.2">
      <c r="A1979" s="6">
        <v>43439.333333333328</v>
      </c>
      <c r="B1979" s="7" t="str">
        <f>HYPERLINK("https://twitter.com/Hora_Digital","@Hora_Digital")</f>
        <v>@Hora_Digital</v>
      </c>
      <c r="C1979" s="8" t="s">
        <v>6784</v>
      </c>
      <c r="D1979" s="9" t="s">
        <v>6785</v>
      </c>
      <c r="E1979" s="10" t="str">
        <f>HYPERLINK("https://twitter.com/Hora_Digital/status/1070211166675161090","1070211166675161090")</f>
        <v>1070211166675161090</v>
      </c>
      <c r="F1979" s="16" t="s">
        <v>6786</v>
      </c>
      <c r="G1979" s="11"/>
      <c r="H1979" s="11"/>
      <c r="I1979" s="12">
        <v>17</v>
      </c>
      <c r="J1979" s="12">
        <v>12</v>
      </c>
      <c r="K1979" s="13" t="str">
        <f>HYPERLINK("https://about.twitter.com/products/tweetdeck","TweetDeck")</f>
        <v>TweetDeck</v>
      </c>
      <c r="L1979" s="12">
        <v>1283</v>
      </c>
      <c r="M1979" s="12">
        <v>620</v>
      </c>
      <c r="N1979" s="12">
        <v>12</v>
      </c>
      <c r="O1979" s="14"/>
      <c r="P1979" s="6">
        <v>43368.579155092593</v>
      </c>
      <c r="Q1979" s="11"/>
      <c r="R1979" s="17" t="s">
        <v>6787</v>
      </c>
      <c r="S1979" s="16" t="s">
        <v>6788</v>
      </c>
      <c r="T1979" s="11"/>
      <c r="U1979" s="10" t="str">
        <f>HYPERLINK("https://pbs.twimg.com/profile_images/1064472981265616896/aBiJQ8gu.jpg","View")</f>
        <v>View</v>
      </c>
    </row>
    <row r="1980" spans="1:21" ht="20.399999999999999">
      <c r="A1980" s="6">
        <v>43439.331678240742</v>
      </c>
      <c r="B1980" s="7" t="str">
        <f>HYPERLINK("https://twitter.com/Mabe_Fer_","@Mabe_Fer_")</f>
        <v>@Mabe_Fer_</v>
      </c>
      <c r="C1980" s="8" t="s">
        <v>94</v>
      </c>
      <c r="D1980" s="9" t="s">
        <v>6789</v>
      </c>
      <c r="E1980" s="10" t="str">
        <f>HYPERLINK("https://twitter.com/Mabe_Fer_/status/1070210568995381249","1070210568995381249")</f>
        <v>1070210568995381249</v>
      </c>
      <c r="F1980" s="16" t="s">
        <v>6790</v>
      </c>
      <c r="G1980" s="11"/>
      <c r="H1980" s="11"/>
      <c r="I1980" s="12">
        <v>0</v>
      </c>
      <c r="J1980" s="12">
        <v>0</v>
      </c>
      <c r="K1980" s="13" t="str">
        <f>HYPERLINK("http://twitter.com/download/android","Twitter for Android")</f>
        <v>Twitter for Android</v>
      </c>
      <c r="L1980" s="12">
        <v>384</v>
      </c>
      <c r="M1980" s="12">
        <v>254</v>
      </c>
      <c r="N1980" s="12">
        <v>0</v>
      </c>
      <c r="O1980" s="14"/>
      <c r="P1980" s="6">
        <v>43237.386134259257</v>
      </c>
      <c r="Q1980" s="15" t="s">
        <v>97</v>
      </c>
      <c r="R1980" s="17" t="s">
        <v>98</v>
      </c>
      <c r="S1980" s="11"/>
      <c r="T1980" s="11"/>
      <c r="U1980" s="10" t="str">
        <f>HYPERLINK("https://pbs.twimg.com/profile_images/1063816291390316544/8Ae4B9b0.jpg","View")</f>
        <v>View</v>
      </c>
    </row>
    <row r="1981" spans="1:21" ht="20.399999999999999">
      <c r="A1981" s="6">
        <v>43439.330983796295</v>
      </c>
      <c r="B1981" s="7" t="str">
        <f>HYPERLINK("https://twitter.com/Lolo_Guadiaro","@Lolo_Guadiaro")</f>
        <v>@Lolo_Guadiaro</v>
      </c>
      <c r="C1981" s="8" t="s">
        <v>6791</v>
      </c>
      <c r="D1981" s="9" t="s">
        <v>6792</v>
      </c>
      <c r="E1981" s="10" t="str">
        <f>HYPERLINK("https://twitter.com/Lolo_Guadiaro/status/1070210314933805056","1070210314933805056")</f>
        <v>1070210314933805056</v>
      </c>
      <c r="F1981" s="16" t="s">
        <v>6793</v>
      </c>
      <c r="G1981" s="11"/>
      <c r="H1981" s="11"/>
      <c r="I1981" s="12">
        <v>0</v>
      </c>
      <c r="J1981" s="12">
        <v>0</v>
      </c>
      <c r="K1981" s="13" t="str">
        <f>HYPERLINK("https://www.google.com/","Google")</f>
        <v>Google</v>
      </c>
      <c r="L1981" s="12">
        <v>7</v>
      </c>
      <c r="M1981" s="12">
        <v>31</v>
      </c>
      <c r="N1981" s="12">
        <v>0</v>
      </c>
      <c r="O1981" s="14"/>
      <c r="P1981" s="6">
        <v>41466.983263888891</v>
      </c>
      <c r="Q1981" s="15" t="s">
        <v>6794</v>
      </c>
      <c r="R1981" s="18"/>
      <c r="S1981" s="11"/>
      <c r="T1981" s="11"/>
      <c r="U1981" s="10" t="str">
        <f>HYPERLINK("https://pbs.twimg.com/profile_images/423541531409408000/BL24pypS.jpeg","View")</f>
        <v>View</v>
      </c>
    </row>
    <row r="1982" spans="1:21" ht="102">
      <c r="A1982" s="6">
        <v>43439.330474537041</v>
      </c>
      <c r="B1982" s="7" t="str">
        <f>HYPERLINK("https://twitter.com/FedericoHaDicho","@FedericoHaDicho")</f>
        <v>@FedericoHaDicho</v>
      </c>
      <c r="C1982" s="8" t="s">
        <v>6795</v>
      </c>
      <c r="D1982" s="9" t="s">
        <v>6796</v>
      </c>
      <c r="E1982" s="10" t="str">
        <f>HYPERLINK("https://twitter.com/FedericoHaDicho/status/1070210133131714560","1070210133131714560")</f>
        <v>1070210133131714560</v>
      </c>
      <c r="F1982" s="15" t="s">
        <v>6797</v>
      </c>
      <c r="G1982" s="11"/>
      <c r="H1982" s="11"/>
      <c r="I1982" s="12">
        <v>12</v>
      </c>
      <c r="J1982" s="12">
        <v>11</v>
      </c>
      <c r="K1982" s="13" t="str">
        <f t="shared" ref="K1982:K1983" si="440">HYPERLINK("http://twitter.com/download/iphone","Twitter for iPhone")</f>
        <v>Twitter for iPhone</v>
      </c>
      <c r="L1982" s="12">
        <v>4554</v>
      </c>
      <c r="M1982" s="12">
        <v>32</v>
      </c>
      <c r="N1982" s="12">
        <v>37</v>
      </c>
      <c r="O1982" s="14"/>
      <c r="P1982" s="6">
        <v>41585.321574074071</v>
      </c>
      <c r="Q1982" s="15" t="s">
        <v>6798</v>
      </c>
      <c r="R1982" s="17" t="s">
        <v>6799</v>
      </c>
      <c r="S1982" s="11"/>
      <c r="T1982" s="11"/>
      <c r="U1982" s="10" t="str">
        <f>HYPERLINK("https://pbs.twimg.com/profile_images/1070060401113608192/EyaLqP29.jpg","View")</f>
        <v>View</v>
      </c>
    </row>
    <row r="1983" spans="1:21" ht="102">
      <c r="A1983" s="6">
        <v>43439.328657407408</v>
      </c>
      <c r="B1983" s="7" t="str">
        <f>HYPERLINK("https://twitter.com/castillo_albert","@castillo_albert")</f>
        <v>@castillo_albert</v>
      </c>
      <c r="C1983" s="8" t="s">
        <v>6800</v>
      </c>
      <c r="D1983" s="9" t="s">
        <v>6801</v>
      </c>
      <c r="E1983" s="10" t="str">
        <f>HYPERLINK("https://twitter.com/castillo_albert/status/1070209471899676672","1070209471899676672")</f>
        <v>1070209471899676672</v>
      </c>
      <c r="F1983" s="16" t="s">
        <v>43</v>
      </c>
      <c r="G1983" s="11"/>
      <c r="H1983" s="11"/>
      <c r="I1983" s="12">
        <v>0</v>
      </c>
      <c r="J1983" s="12">
        <v>3</v>
      </c>
      <c r="K1983" s="13" t="str">
        <f t="shared" si="440"/>
        <v>Twitter for iPhone</v>
      </c>
      <c r="L1983" s="12">
        <v>6718</v>
      </c>
      <c r="M1983" s="12">
        <v>1829</v>
      </c>
      <c r="N1983" s="12">
        <v>150</v>
      </c>
      <c r="O1983" s="14"/>
      <c r="P1983" s="6">
        <v>40596.52138888889</v>
      </c>
      <c r="Q1983" s="15" t="s">
        <v>3266</v>
      </c>
      <c r="R1983" s="17" t="s">
        <v>6802</v>
      </c>
      <c r="S1983" s="16" t="s">
        <v>6803</v>
      </c>
      <c r="T1983" s="11"/>
      <c r="U1983" s="10" t="str">
        <f>HYPERLINK("https://pbs.twimg.com/profile_images/947079326674980869/f-g4pE0j.jpg","View")</f>
        <v>View</v>
      </c>
    </row>
    <row r="1984" spans="1:21" ht="40.799999999999997">
      <c r="A1984" s="6">
        <v>43439.326377314814</v>
      </c>
      <c r="B1984" s="7" t="str">
        <f>HYPERLINK("https://twitter.com/voxnoticias_es","@voxnoticias_es")</f>
        <v>@voxnoticias_es</v>
      </c>
      <c r="C1984" s="8" t="s">
        <v>4522</v>
      </c>
      <c r="D1984" s="9" t="s">
        <v>6804</v>
      </c>
      <c r="E1984" s="10" t="str">
        <f>HYPERLINK("https://twitter.com/voxnoticias_es/status/1070208646141878272","1070208646141878272")</f>
        <v>1070208646141878272</v>
      </c>
      <c r="F1984" s="11"/>
      <c r="G1984" s="16" t="s">
        <v>6698</v>
      </c>
      <c r="H1984" s="11"/>
      <c r="I1984" s="12">
        <v>50</v>
      </c>
      <c r="J1984" s="12">
        <v>68</v>
      </c>
      <c r="K1984" s="13" t="str">
        <f>HYPERLINK("http://twitter.com/download/android","Twitter for Android")</f>
        <v>Twitter for Android</v>
      </c>
      <c r="L1984" s="12">
        <v>21631</v>
      </c>
      <c r="M1984" s="12">
        <v>2131</v>
      </c>
      <c r="N1984" s="12">
        <v>145</v>
      </c>
      <c r="O1984" s="14"/>
      <c r="P1984" s="6">
        <v>41687.875428240739</v>
      </c>
      <c r="Q1984" s="15" t="s">
        <v>4524</v>
      </c>
      <c r="R1984" s="17" t="s">
        <v>4525</v>
      </c>
      <c r="S1984" s="16" t="s">
        <v>4526</v>
      </c>
      <c r="T1984" s="11"/>
      <c r="U1984" s="10" t="str">
        <f>HYPERLINK("https://pbs.twimg.com/profile_images/900432165195980801/-2-6PzuU.jpg","View")</f>
        <v>View</v>
      </c>
    </row>
    <row r="1985" spans="1:21" ht="81.599999999999994">
      <c r="A1985" s="6">
        <v>43439.324895833328</v>
      </c>
      <c r="B1985" s="7" t="str">
        <f>HYPERLINK("https://twitter.com/CurroTroya","@CurroTroya")</f>
        <v>@CurroTroya</v>
      </c>
      <c r="C1985" s="8" t="s">
        <v>3687</v>
      </c>
      <c r="D1985" s="9" t="s">
        <v>6805</v>
      </c>
      <c r="E1985" s="10" t="str">
        <f>HYPERLINK("https://twitter.com/CurroTroya/status/1070208109275168768","1070208109275168768")</f>
        <v>1070208109275168768</v>
      </c>
      <c r="F1985" s="15" t="s">
        <v>6806</v>
      </c>
      <c r="G1985" s="11"/>
      <c r="H1985" s="11"/>
      <c r="I1985" s="12">
        <v>2</v>
      </c>
      <c r="J1985" s="12">
        <v>2</v>
      </c>
      <c r="K1985" s="13" t="str">
        <f>HYPERLINK("https://about.twitter.com/products/tweetdeck","TweetDeck")</f>
        <v>TweetDeck</v>
      </c>
      <c r="L1985" s="12">
        <v>15192</v>
      </c>
      <c r="M1985" s="12">
        <v>6480</v>
      </c>
      <c r="N1985" s="12">
        <v>479</v>
      </c>
      <c r="O1985" s="14"/>
      <c r="P1985" s="6">
        <v>39989.777754629627</v>
      </c>
      <c r="Q1985" s="15" t="s">
        <v>1359</v>
      </c>
      <c r="R1985" s="17" t="s">
        <v>3690</v>
      </c>
      <c r="S1985" s="16" t="s">
        <v>3691</v>
      </c>
      <c r="T1985" s="11"/>
      <c r="U1985" s="10" t="str">
        <f>HYPERLINK("https://pbs.twimg.com/profile_images/1010977003196076033/3hTl853S.jpg","View")</f>
        <v>View</v>
      </c>
    </row>
    <row r="1986" spans="1:21" ht="40.799999999999997">
      <c r="A1986" s="6">
        <v>43439.324374999997</v>
      </c>
      <c r="B1986" s="7" t="str">
        <f>HYPERLINK("https://twitter.com/AmigoDeVox","@AmigoDeVox")</f>
        <v>@AmigoDeVox</v>
      </c>
      <c r="C1986" s="8" t="s">
        <v>6807</v>
      </c>
      <c r="D1986" s="9" t="s">
        <v>6808</v>
      </c>
      <c r="E1986" s="10" t="str">
        <f>HYPERLINK("https://twitter.com/AmigoDeVox/status/1070207921122930690","1070207921122930690")</f>
        <v>1070207921122930690</v>
      </c>
      <c r="F1986" s="11"/>
      <c r="G1986" s="11"/>
      <c r="H1986" s="11"/>
      <c r="I1986" s="12">
        <v>0</v>
      </c>
      <c r="J1986" s="12">
        <v>0</v>
      </c>
      <c r="K1986" s="13" t="str">
        <f>HYPERLINK("http://twitter.com","Twitter Web Client")</f>
        <v>Twitter Web Client</v>
      </c>
      <c r="L1986" s="12">
        <v>21</v>
      </c>
      <c r="M1986" s="12">
        <v>26</v>
      </c>
      <c r="N1986" s="12">
        <v>0</v>
      </c>
      <c r="O1986" s="14"/>
      <c r="P1986" s="6">
        <v>43437.318611111114</v>
      </c>
      <c r="Q1986" s="15" t="s">
        <v>197</v>
      </c>
      <c r="R1986" s="17" t="s">
        <v>6809</v>
      </c>
      <c r="S1986" s="11"/>
      <c r="T1986" s="11"/>
      <c r="U1986" s="10" t="str">
        <f>HYPERLINK("https://pbs.twimg.com/profile_images/1069484137080328193/ftb0k49F.jpg","View")</f>
        <v>View</v>
      </c>
    </row>
    <row r="1987" spans="1:21" ht="40.799999999999997">
      <c r="A1987" s="6">
        <v>43439.32298611111</v>
      </c>
      <c r="B1987" s="7" t="str">
        <f>HYPERLINK("https://twitter.com/ANTPODEMOS","@ANTPODEMOS")</f>
        <v>@ANTPODEMOS</v>
      </c>
      <c r="C1987" s="8" t="s">
        <v>5646</v>
      </c>
      <c r="D1987" s="9" t="s">
        <v>6810</v>
      </c>
      <c r="E1987" s="10" t="str">
        <f>HYPERLINK("https://twitter.com/ANTPODEMOS/status/1070207416439058432","1070207416439058432")</f>
        <v>1070207416439058432</v>
      </c>
      <c r="F1987" s="16" t="s">
        <v>6811</v>
      </c>
      <c r="G1987" s="11"/>
      <c r="H1987" s="11"/>
      <c r="I1987" s="12">
        <v>2</v>
      </c>
      <c r="J1987" s="12">
        <v>2</v>
      </c>
      <c r="K1987" s="13" t="str">
        <f>HYPERLINK("http://www.facebook.com/twitter","Facebook")</f>
        <v>Facebook</v>
      </c>
      <c r="L1987" s="12">
        <v>5585</v>
      </c>
      <c r="M1987" s="12">
        <v>426</v>
      </c>
      <c r="N1987" s="12">
        <v>58</v>
      </c>
      <c r="O1987" s="14"/>
      <c r="P1987" s="6">
        <v>41956.204837962963</v>
      </c>
      <c r="Q1987" s="15" t="s">
        <v>197</v>
      </c>
      <c r="R1987" s="17" t="s">
        <v>5648</v>
      </c>
      <c r="S1987" s="16" t="s">
        <v>5649</v>
      </c>
      <c r="T1987" s="11"/>
      <c r="U1987" s="10" t="str">
        <f>HYPERLINK("https://pbs.twimg.com/profile_images/952681544224854017/rVAhotfW.jpg","View")</f>
        <v>View</v>
      </c>
    </row>
    <row r="1988" spans="1:21" ht="30.6">
      <c r="A1988" s="6">
        <v>43439.320196759261</v>
      </c>
      <c r="B1988" s="7" t="str">
        <f>HYPERLINK("https://twitter.com/mintiendes","@mintiendes")</f>
        <v>@mintiendes</v>
      </c>
      <c r="C1988" s="8" t="s">
        <v>6812</v>
      </c>
      <c r="D1988" s="9" t="s">
        <v>6813</v>
      </c>
      <c r="E1988" s="10" t="str">
        <f>HYPERLINK("https://twitter.com/mintiendes/status/1070206408241659904","1070206408241659904")</f>
        <v>1070206408241659904</v>
      </c>
      <c r="F1988" s="11"/>
      <c r="G1988" s="11"/>
      <c r="H1988" s="11"/>
      <c r="I1988" s="12">
        <v>0</v>
      </c>
      <c r="J1988" s="12">
        <v>0</v>
      </c>
      <c r="K1988" s="13" t="str">
        <f t="shared" ref="K1988:K1992" si="441">HYPERLINK("http://twitter.com/download/android","Twitter for Android")</f>
        <v>Twitter for Android</v>
      </c>
      <c r="L1988" s="12">
        <v>234</v>
      </c>
      <c r="M1988" s="12">
        <v>90</v>
      </c>
      <c r="N1988" s="12">
        <v>13</v>
      </c>
      <c r="O1988" s="14"/>
      <c r="P1988" s="6">
        <v>40326.770914351851</v>
      </c>
      <c r="Q1988" s="15" t="s">
        <v>6814</v>
      </c>
      <c r="R1988" s="17" t="s">
        <v>6815</v>
      </c>
      <c r="S1988" s="11"/>
      <c r="T1988" s="11"/>
      <c r="U1988" s="10" t="str">
        <f>HYPERLINK("https://pbs.twimg.com/profile_images/451145760164175872/XEYVwO2g.jpeg","View")</f>
        <v>View</v>
      </c>
    </row>
    <row r="1989" spans="1:21" ht="51">
      <c r="A1989" s="6">
        <v>43439.320104166662</v>
      </c>
      <c r="B1989" s="7" t="str">
        <f>HYPERLINK("https://twitter.com/AbaloDelgado","@AbaloDelgado")</f>
        <v>@AbaloDelgado</v>
      </c>
      <c r="C1989" s="8" t="s">
        <v>6816</v>
      </c>
      <c r="D1989" s="9" t="s">
        <v>6817</v>
      </c>
      <c r="E1989" s="10" t="str">
        <f>HYPERLINK("https://twitter.com/AbaloDelgado/status/1070206373881880576","1070206373881880576")</f>
        <v>1070206373881880576</v>
      </c>
      <c r="F1989" s="11"/>
      <c r="G1989" s="11"/>
      <c r="H1989" s="11"/>
      <c r="I1989" s="12">
        <v>0</v>
      </c>
      <c r="J1989" s="12">
        <v>0</v>
      </c>
      <c r="K1989" s="13" t="str">
        <f t="shared" si="441"/>
        <v>Twitter for Android</v>
      </c>
      <c r="L1989" s="12">
        <v>935</v>
      </c>
      <c r="M1989" s="12">
        <v>275</v>
      </c>
      <c r="N1989" s="12">
        <v>56</v>
      </c>
      <c r="O1989" s="14"/>
      <c r="P1989" s="6">
        <v>42049.682523148149</v>
      </c>
      <c r="Q1989" s="11"/>
      <c r="R1989" s="18"/>
      <c r="S1989" s="11"/>
      <c r="T1989" s="11"/>
      <c r="U1989" s="10" t="str">
        <f>HYPERLINK("https://pbs.twimg.com/profile_images/747444722432675845/gXK16cpA.jpg","View")</f>
        <v>View</v>
      </c>
    </row>
    <row r="1990" spans="1:21" ht="51">
      <c r="A1990" s="6">
        <v>43439.315752314811</v>
      </c>
      <c r="B1990" s="7" t="str">
        <f>HYPERLINK("https://twitter.com/Felitigreton","@Felitigreton")</f>
        <v>@Felitigreton</v>
      </c>
      <c r="C1990" s="8" t="s">
        <v>6818</v>
      </c>
      <c r="D1990" s="9" t="s">
        <v>6819</v>
      </c>
      <c r="E1990" s="10" t="str">
        <f>HYPERLINK("https://twitter.com/Felitigreton/status/1070204796592898048","1070204796592898048")</f>
        <v>1070204796592898048</v>
      </c>
      <c r="F1990" s="11"/>
      <c r="G1990" s="11"/>
      <c r="H1990" s="11"/>
      <c r="I1990" s="12">
        <v>23</v>
      </c>
      <c r="J1990" s="12">
        <v>22</v>
      </c>
      <c r="K1990" s="13" t="str">
        <f t="shared" si="441"/>
        <v>Twitter for Android</v>
      </c>
      <c r="L1990" s="12">
        <v>7613</v>
      </c>
      <c r="M1990" s="12">
        <v>6997</v>
      </c>
      <c r="N1990" s="12">
        <v>36</v>
      </c>
      <c r="O1990" s="14"/>
      <c r="P1990" s="6">
        <v>42099.790196759262</v>
      </c>
      <c r="Q1990" s="11"/>
      <c r="R1990" s="17" t="s">
        <v>6820</v>
      </c>
      <c r="S1990" s="11"/>
      <c r="T1990" s="11"/>
      <c r="U1990" s="10" t="str">
        <f>HYPERLINK("https://pbs.twimg.com/profile_images/947940683331063808/u2VI9kbD.jpg","View")</f>
        <v>View</v>
      </c>
    </row>
    <row r="1991" spans="1:21" ht="30.6">
      <c r="A1991" s="6">
        <v>43439.315740740742</v>
      </c>
      <c r="B1991" s="7" t="str">
        <f>HYPERLINK("https://twitter.com/vox_alcoy","@vox_alcoy")</f>
        <v>@vox_alcoy</v>
      </c>
      <c r="C1991" s="8" t="s">
        <v>6821</v>
      </c>
      <c r="D1991" s="9" t="s">
        <v>6822</v>
      </c>
      <c r="E1991" s="10" t="str">
        <f>HYPERLINK("https://twitter.com/vox_alcoy/status/1070204793451364352","1070204793451364352")</f>
        <v>1070204793451364352</v>
      </c>
      <c r="F1991" s="15" t="s">
        <v>6645</v>
      </c>
      <c r="G1991" s="11"/>
      <c r="H1991" s="11"/>
      <c r="I1991" s="12">
        <v>1</v>
      </c>
      <c r="J1991" s="12">
        <v>1</v>
      </c>
      <c r="K1991" s="13" t="str">
        <f t="shared" si="441"/>
        <v>Twitter for Android</v>
      </c>
      <c r="L1991" s="12">
        <v>415</v>
      </c>
      <c r="M1991" s="12">
        <v>376</v>
      </c>
      <c r="N1991" s="12">
        <v>3</v>
      </c>
      <c r="O1991" s="14"/>
      <c r="P1991" s="6">
        <v>41738.58222222222</v>
      </c>
      <c r="Q1991" s="15" t="s">
        <v>6823</v>
      </c>
      <c r="R1991" s="17" t="s">
        <v>6824</v>
      </c>
      <c r="S1991" s="16" t="s">
        <v>1740</v>
      </c>
      <c r="T1991" s="11"/>
      <c r="U1991" s="10" t="str">
        <f>HYPERLINK("https://pbs.twimg.com/profile_images/1041373448772243457/TP5eXj_C.jpg","View")</f>
        <v>View</v>
      </c>
    </row>
    <row r="1992" spans="1:21" ht="51">
      <c r="A1992" s="6">
        <v>43439.314375000002</v>
      </c>
      <c r="B1992" s="7" t="str">
        <f>HYPERLINK("https://twitter.com/JueputaH","@JueputaH")</f>
        <v>@JueputaH</v>
      </c>
      <c r="C1992" s="8" t="s">
        <v>6825</v>
      </c>
      <c r="D1992" s="9" t="s">
        <v>6826</v>
      </c>
      <c r="E1992" s="10" t="str">
        <f>HYPERLINK("https://twitter.com/JueputaH/status/1070204297827229696","1070204297827229696")</f>
        <v>1070204297827229696</v>
      </c>
      <c r="F1992" s="11"/>
      <c r="G1992" s="11"/>
      <c r="H1992" s="11"/>
      <c r="I1992" s="12">
        <v>0</v>
      </c>
      <c r="J1992" s="12">
        <v>0</v>
      </c>
      <c r="K1992" s="13" t="str">
        <f t="shared" si="441"/>
        <v>Twitter for Android</v>
      </c>
      <c r="L1992" s="12">
        <v>62</v>
      </c>
      <c r="M1992" s="12">
        <v>419</v>
      </c>
      <c r="N1992" s="12">
        <v>0</v>
      </c>
      <c r="O1992" s="14"/>
      <c r="P1992" s="6">
        <v>43438.013090277775</v>
      </c>
      <c r="Q1992" s="11"/>
      <c r="R1992" s="17" t="s">
        <v>6827</v>
      </c>
      <c r="S1992" s="11"/>
      <c r="T1992" s="11"/>
      <c r="U1992" s="10" t="str">
        <f>HYPERLINK("https://pbs.twimg.com/profile_images/1069736222342422530/IhKjofIW.jpg","View")</f>
        <v>View</v>
      </c>
    </row>
    <row r="1993" spans="1:21" ht="51">
      <c r="A1993" s="6">
        <v>43439.313101851847</v>
      </c>
      <c r="B1993" s="7" t="str">
        <f>HYPERLINK("https://twitter.com/menrych50","@menrych50")</f>
        <v>@menrych50</v>
      </c>
      <c r="C1993" s="8" t="s">
        <v>6828</v>
      </c>
      <c r="D1993" s="9" t="s">
        <v>6829</v>
      </c>
      <c r="E1993" s="10" t="str">
        <f>HYPERLINK("https://twitter.com/menrych50/status/1070203834860007424","1070203834860007424")</f>
        <v>1070203834860007424</v>
      </c>
      <c r="F1993" s="16" t="s">
        <v>6830</v>
      </c>
      <c r="G1993" s="11"/>
      <c r="H1993" s="11"/>
      <c r="I1993" s="12">
        <v>1</v>
      </c>
      <c r="J1993" s="12">
        <v>1</v>
      </c>
      <c r="K1993" s="13" t="str">
        <f>HYPERLINK("http://twitter.com","Twitter Web Client")</f>
        <v>Twitter Web Client</v>
      </c>
      <c r="L1993" s="12">
        <v>345</v>
      </c>
      <c r="M1993" s="12">
        <v>159</v>
      </c>
      <c r="N1993" s="12">
        <v>15</v>
      </c>
      <c r="O1993" s="14"/>
      <c r="P1993" s="6">
        <v>41009.647245370368</v>
      </c>
      <c r="Q1993" s="15" t="s">
        <v>6831</v>
      </c>
      <c r="R1993" s="17" t="s">
        <v>6832</v>
      </c>
      <c r="S1993" s="11"/>
      <c r="T1993" s="11"/>
      <c r="U1993" s="10" t="str">
        <f>HYPERLINK("https://pbs.twimg.com/profile_images/980845404190371841/iS0poDj0.jpg","View")</f>
        <v>View</v>
      </c>
    </row>
    <row r="1994" spans="1:21" ht="61.2">
      <c r="A1994" s="6">
        <v>43439.310624999998</v>
      </c>
      <c r="B1994" s="7" t="str">
        <f>HYPERLINK("https://twitter.com/cbadolfo","@cbadolfo")</f>
        <v>@cbadolfo</v>
      </c>
      <c r="C1994" s="8" t="s">
        <v>6833</v>
      </c>
      <c r="D1994" s="9" t="s">
        <v>6834</v>
      </c>
      <c r="E1994" s="10" t="str">
        <f>HYPERLINK("https://twitter.com/cbadolfo/status/1070202937195053056","1070202937195053056")</f>
        <v>1070202937195053056</v>
      </c>
      <c r="F1994" s="16" t="s">
        <v>5850</v>
      </c>
      <c r="G1994" s="11"/>
      <c r="H1994" s="11"/>
      <c r="I1994" s="12">
        <v>1</v>
      </c>
      <c r="J1994" s="12">
        <v>4</v>
      </c>
      <c r="K1994" s="13" t="str">
        <f>HYPERLINK("http://twitter.com/download/iphone","Twitter for iPhone")</f>
        <v>Twitter for iPhone</v>
      </c>
      <c r="L1994" s="12">
        <v>529</v>
      </c>
      <c r="M1994" s="12">
        <v>815</v>
      </c>
      <c r="N1994" s="12">
        <v>13</v>
      </c>
      <c r="O1994" s="14"/>
      <c r="P1994" s="6">
        <v>40423.939247685186</v>
      </c>
      <c r="Q1994" s="15" t="s">
        <v>6835</v>
      </c>
      <c r="R1994" s="17" t="s">
        <v>6836</v>
      </c>
      <c r="S1994" s="16" t="s">
        <v>6837</v>
      </c>
      <c r="T1994" s="11"/>
      <c r="U1994" s="10" t="str">
        <f>HYPERLINK("https://pbs.twimg.com/profile_images/987604546196312064/6NM7wpAy.jpg","View")</f>
        <v>View</v>
      </c>
    </row>
    <row r="1995" spans="1:21" ht="51">
      <c r="A1995" s="6">
        <v>43439.304780092592</v>
      </c>
      <c r="B1995" s="7" t="str">
        <f>HYPERLINK("https://twitter.com/ByChanchi","@ByChanchi")</f>
        <v>@ByChanchi</v>
      </c>
      <c r="C1995" s="8" t="s">
        <v>6838</v>
      </c>
      <c r="D1995" s="9" t="s">
        <v>6839</v>
      </c>
      <c r="E1995" s="10" t="str">
        <f>HYPERLINK("https://twitter.com/ByChanchi/status/1070200821764276225","1070200821764276225")</f>
        <v>1070200821764276225</v>
      </c>
      <c r="F1995" s="16" t="s">
        <v>4640</v>
      </c>
      <c r="G1995" s="16" t="s">
        <v>6840</v>
      </c>
      <c r="H1995" s="11"/>
      <c r="I1995" s="12">
        <v>1</v>
      </c>
      <c r="J1995" s="12">
        <v>1</v>
      </c>
      <c r="K1995" s="13" t="str">
        <f>HYPERLINK("http://twitter.com/download/android","Twitter for Android")</f>
        <v>Twitter for Android</v>
      </c>
      <c r="L1995" s="12">
        <v>2203</v>
      </c>
      <c r="M1995" s="12">
        <v>2388</v>
      </c>
      <c r="N1995" s="12">
        <v>55</v>
      </c>
      <c r="O1995" s="14"/>
      <c r="P1995" s="6">
        <v>40658.884189814817</v>
      </c>
      <c r="Q1995" s="15" t="s">
        <v>709</v>
      </c>
      <c r="R1995" s="17" t="s">
        <v>6841</v>
      </c>
      <c r="S1995" s="16" t="s">
        <v>6842</v>
      </c>
      <c r="T1995" s="11"/>
      <c r="U1995" s="10" t="str">
        <f>HYPERLINK("https://pbs.twimg.com/profile_images/1069492668898701314/SBUlqtaD.jpg","View")</f>
        <v>View</v>
      </c>
    </row>
    <row r="1996" spans="1:21" ht="40.799999999999997">
      <c r="A1996" s="6">
        <v>43439.302048611113</v>
      </c>
      <c r="B1996" s="7" t="str">
        <f t="shared" ref="B1996:B1997" si="442">HYPERLINK("https://twitter.com/ELZORROBOLIVAR","@ELZORROBOLIVAR")</f>
        <v>@ELZORROBOLIVAR</v>
      </c>
      <c r="C1996" s="8" t="s">
        <v>6843</v>
      </c>
      <c r="D1996" s="9" t="s">
        <v>6844</v>
      </c>
      <c r="E1996" s="10" t="str">
        <f>HYPERLINK("https://twitter.com/ELZORROBOLIVAR/status/1070199831170334723","1070199831170334723")</f>
        <v>1070199831170334723</v>
      </c>
      <c r="F1996" s="11"/>
      <c r="G1996" s="11"/>
      <c r="H1996" s="11"/>
      <c r="I1996" s="12">
        <v>3</v>
      </c>
      <c r="J1996" s="12">
        <v>3</v>
      </c>
      <c r="K1996" s="13" t="str">
        <f t="shared" ref="K1996:K1997" si="443">HYPERLINK("http://twitter.com/#!/download/ipad","Twitter for iPad")</f>
        <v>Twitter for iPad</v>
      </c>
      <c r="L1996" s="12">
        <v>4708</v>
      </c>
      <c r="M1996" s="12">
        <v>4772</v>
      </c>
      <c r="N1996" s="12">
        <v>54</v>
      </c>
      <c r="O1996" s="14"/>
      <c r="P1996" s="6">
        <v>40314.240972222222</v>
      </c>
      <c r="Q1996" s="15" t="s">
        <v>6845</v>
      </c>
      <c r="R1996" s="17" t="s">
        <v>6846</v>
      </c>
      <c r="S1996" s="11"/>
      <c r="T1996" s="11"/>
      <c r="U1996" s="10" t="str">
        <f t="shared" ref="U1996:U1997" si="444">HYPERLINK("https://pbs.twimg.com/profile_images/1058675616675966976/jKqUsn-o.jpg","View")</f>
        <v>View</v>
      </c>
    </row>
    <row r="1997" spans="1:21" ht="51">
      <c r="A1997" s="6">
        <v>43439.30159722222</v>
      </c>
      <c r="B1997" s="7" t="str">
        <f t="shared" si="442"/>
        <v>@ELZORROBOLIVAR</v>
      </c>
      <c r="C1997" s="8" t="s">
        <v>6843</v>
      </c>
      <c r="D1997" s="9" t="s">
        <v>6847</v>
      </c>
      <c r="E1997" s="10" t="str">
        <f>HYPERLINK("https://twitter.com/ELZORROBOLIVAR/status/1070199666749464576","1070199666749464576")</f>
        <v>1070199666749464576</v>
      </c>
      <c r="F1997" s="11"/>
      <c r="G1997" s="16" t="s">
        <v>6848</v>
      </c>
      <c r="H1997" s="11"/>
      <c r="I1997" s="12">
        <v>9</v>
      </c>
      <c r="J1997" s="12">
        <v>6</v>
      </c>
      <c r="K1997" s="13" t="str">
        <f t="shared" si="443"/>
        <v>Twitter for iPad</v>
      </c>
      <c r="L1997" s="12">
        <v>4708</v>
      </c>
      <c r="M1997" s="12">
        <v>4772</v>
      </c>
      <c r="N1997" s="12">
        <v>54</v>
      </c>
      <c r="O1997" s="14"/>
      <c r="P1997" s="6">
        <v>40314.240972222222</v>
      </c>
      <c r="Q1997" s="15" t="s">
        <v>6845</v>
      </c>
      <c r="R1997" s="17" t="s">
        <v>6846</v>
      </c>
      <c r="S1997" s="11"/>
      <c r="T1997" s="11"/>
      <c r="U1997" s="10" t="str">
        <f t="shared" si="444"/>
        <v>View</v>
      </c>
    </row>
    <row r="1998" spans="1:21" ht="30.6">
      <c r="A1998" s="6">
        <v>43439.301180555558</v>
      </c>
      <c r="B1998" s="7" t="str">
        <f>HYPERLINK("https://twitter.com/pampolfigo","@pampolfigo")</f>
        <v>@pampolfigo</v>
      </c>
      <c r="C1998" s="8" t="s">
        <v>6849</v>
      </c>
      <c r="D1998" s="9" t="s">
        <v>6850</v>
      </c>
      <c r="E1998" s="10" t="str">
        <f>HYPERLINK("https://twitter.com/pampolfigo/status/1070199516605935617","1070199516605935617")</f>
        <v>1070199516605935617</v>
      </c>
      <c r="F1998" s="11"/>
      <c r="G1998" s="16" t="s">
        <v>6851</v>
      </c>
      <c r="H1998" s="11"/>
      <c r="I1998" s="12">
        <v>0</v>
      </c>
      <c r="J1998" s="12">
        <v>1</v>
      </c>
      <c r="K1998" s="13" t="str">
        <f>HYPERLINK("http://twitter.com/download/android","Twitter for Android")</f>
        <v>Twitter for Android</v>
      </c>
      <c r="L1998" s="12">
        <v>211</v>
      </c>
      <c r="M1998" s="12">
        <v>384</v>
      </c>
      <c r="N1998" s="12">
        <v>2</v>
      </c>
      <c r="O1998" s="14"/>
      <c r="P1998" s="6">
        <v>42193.478090277778</v>
      </c>
      <c r="Q1998" s="11"/>
      <c r="R1998" s="17" t="s">
        <v>6852</v>
      </c>
      <c r="S1998" s="11"/>
      <c r="T1998" s="11"/>
      <c r="U1998" s="10" t="str">
        <f>HYPERLINK("https://pbs.twimg.com/profile_images/926940068933263360/J1R4YEcj.jpg","View")</f>
        <v>View</v>
      </c>
    </row>
    <row r="1999" spans="1:21" ht="30.6">
      <c r="A1999" s="6">
        <v>43439.295740740738</v>
      </c>
      <c r="B1999" s="7" t="str">
        <f>HYPERLINK("https://twitter.com/Frikeando1","@Frikeando1")</f>
        <v>@Frikeando1</v>
      </c>
      <c r="C1999" s="8" t="s">
        <v>6853</v>
      </c>
      <c r="D1999" s="9" t="s">
        <v>6854</v>
      </c>
      <c r="E1999" s="10" t="str">
        <f>HYPERLINK("https://twitter.com/Frikeando1/status/1070197545241100288","1070197545241100288")</f>
        <v>1070197545241100288</v>
      </c>
      <c r="F1999" s="11"/>
      <c r="G1999" s="11"/>
      <c r="H1999" s="11"/>
      <c r="I1999" s="12">
        <v>0</v>
      </c>
      <c r="J1999" s="12">
        <v>0</v>
      </c>
      <c r="K1999" s="13" t="str">
        <f>HYPERLINK("http://twitter.com/download/iphone","Twitter for iPhone")</f>
        <v>Twitter for iPhone</v>
      </c>
      <c r="L1999" s="12">
        <v>483</v>
      </c>
      <c r="M1999" s="12">
        <v>442</v>
      </c>
      <c r="N1999" s="12">
        <v>1</v>
      </c>
      <c r="O1999" s="14"/>
      <c r="P1999" s="6">
        <v>43348.760046296295</v>
      </c>
      <c r="Q1999" s="11"/>
      <c r="R1999" s="18"/>
      <c r="S1999" s="11"/>
      <c r="T1999" s="11"/>
      <c r="U1999" s="10" t="str">
        <f>HYPERLINK("https://pbs.twimg.com/profile_images/1037388464789118977/UQiZxKeq.jpg","View")</f>
        <v>View</v>
      </c>
    </row>
    <row r="2000" spans="1:21" ht="51">
      <c r="A2000" s="6">
        <v>43439.29305555555</v>
      </c>
      <c r="B2000" s="7" t="str">
        <f>HYPERLINK("https://twitter.com/bitMomentum","@bitMomentum")</f>
        <v>@bitMomentum</v>
      </c>
      <c r="C2000" s="8" t="s">
        <v>82</v>
      </c>
      <c r="D2000" s="9" t="s">
        <v>6855</v>
      </c>
      <c r="E2000" s="10" t="str">
        <f>HYPERLINK("https://twitter.com/bitMomentum/status/1070196569750802432","1070196569750802432")</f>
        <v>1070196569750802432</v>
      </c>
      <c r="F2000" s="11"/>
      <c r="G2000" s="11"/>
      <c r="H2000" s="11"/>
      <c r="I2000" s="12">
        <v>0</v>
      </c>
      <c r="J2000" s="12">
        <v>0</v>
      </c>
      <c r="K2000" s="13" t="str">
        <f>HYPERLINK("http://www.bitmomentum.com","bitMomentum Bot")</f>
        <v>bitMomentum Bot</v>
      </c>
      <c r="L2000" s="12">
        <v>10253</v>
      </c>
      <c r="M2000" s="12">
        <v>1059</v>
      </c>
      <c r="N2000" s="12">
        <v>263</v>
      </c>
      <c r="O2000" s="14"/>
      <c r="P2000" s="6">
        <v>41608.667511574073</v>
      </c>
      <c r="Q2000" s="11"/>
      <c r="R2000" s="17" t="s">
        <v>84</v>
      </c>
      <c r="S2000" s="16" t="s">
        <v>85</v>
      </c>
      <c r="T2000" s="11"/>
      <c r="U2000" s="10" t="str">
        <f>HYPERLINK("https://pbs.twimg.com/profile_images/378800000862185241/20ij2H3u.png","View")</f>
        <v>View</v>
      </c>
    </row>
    <row r="2001" spans="1:21" ht="30.6">
      <c r="A2001" s="6">
        <v>43439.292581018519</v>
      </c>
      <c r="B2001" s="7" t="str">
        <f>HYPERLINK("https://twitter.com/AmaliaBlanco2","@AmaliaBlanco2")</f>
        <v>@AmaliaBlanco2</v>
      </c>
      <c r="C2001" s="8" t="s">
        <v>6856</v>
      </c>
      <c r="D2001" s="9" t="s">
        <v>6857</v>
      </c>
      <c r="E2001" s="10" t="str">
        <f>HYPERLINK("https://twitter.com/AmaliaBlanco2/status/1070196401097854976","1070196401097854976")</f>
        <v>1070196401097854976</v>
      </c>
      <c r="F2001" s="16" t="s">
        <v>6858</v>
      </c>
      <c r="G2001" s="11"/>
      <c r="H2001" s="11"/>
      <c r="I2001" s="12">
        <v>2</v>
      </c>
      <c r="J2001" s="12">
        <v>0</v>
      </c>
      <c r="K2001" s="13" t="str">
        <f>HYPERLINK("http://twitter.com/#!/download/ipad","Twitter for iPad")</f>
        <v>Twitter for iPad</v>
      </c>
      <c r="L2001" s="12">
        <v>6933</v>
      </c>
      <c r="M2001" s="12">
        <v>2841</v>
      </c>
      <c r="N2001" s="12">
        <v>128</v>
      </c>
      <c r="O2001" s="23" t="s">
        <v>89</v>
      </c>
      <c r="P2001" s="6">
        <v>40886.774606481486</v>
      </c>
      <c r="Q2001" s="15" t="s">
        <v>6859</v>
      </c>
      <c r="R2001" s="17" t="s">
        <v>6860</v>
      </c>
      <c r="S2001" s="11"/>
      <c r="T2001" s="11"/>
      <c r="U2001" s="10" t="str">
        <f>HYPERLINK("https://pbs.twimg.com/profile_images/992390622240702464/Aje_Sn8k.jpg","View")</f>
        <v>View</v>
      </c>
    </row>
    <row r="2002" spans="1:21" ht="51">
      <c r="A2002" s="6">
        <v>43439.292361111111</v>
      </c>
      <c r="B2002" s="7" t="str">
        <f>HYPERLINK("https://twitter.com/bitMomentum","@bitMomentum")</f>
        <v>@bitMomentum</v>
      </c>
      <c r="C2002" s="8" t="s">
        <v>82</v>
      </c>
      <c r="D2002" s="9" t="s">
        <v>6861</v>
      </c>
      <c r="E2002" s="10" t="str">
        <f>HYPERLINK("https://twitter.com/bitMomentum/status/1070196318063202304","1070196318063202304")</f>
        <v>1070196318063202304</v>
      </c>
      <c r="F2002" s="11"/>
      <c r="G2002" s="11"/>
      <c r="H2002" s="11"/>
      <c r="I2002" s="12">
        <v>0</v>
      </c>
      <c r="J2002" s="12">
        <v>0</v>
      </c>
      <c r="K2002" s="13" t="str">
        <f>HYPERLINK("http://www.bitmomentum.com","bitMomentum Bot")</f>
        <v>bitMomentum Bot</v>
      </c>
      <c r="L2002" s="12">
        <v>10253</v>
      </c>
      <c r="M2002" s="12">
        <v>1059</v>
      </c>
      <c r="N2002" s="12">
        <v>263</v>
      </c>
      <c r="O2002" s="14"/>
      <c r="P2002" s="6">
        <v>41608.667511574073</v>
      </c>
      <c r="Q2002" s="11"/>
      <c r="R2002" s="17" t="s">
        <v>84</v>
      </c>
      <c r="S2002" s="16" t="s">
        <v>85</v>
      </c>
      <c r="T2002" s="11"/>
      <c r="U2002" s="10" t="str">
        <f>HYPERLINK("https://pbs.twimg.com/profile_images/378800000862185241/20ij2H3u.png","View")</f>
        <v>View</v>
      </c>
    </row>
    <row r="2003" spans="1:21" ht="30.6">
      <c r="A2003" s="6">
        <v>43439.289409722223</v>
      </c>
      <c r="B2003" s="7" t="str">
        <f>HYPERLINK("https://twitter.com/joakilendi","@joakilendi")</f>
        <v>@joakilendi</v>
      </c>
      <c r="C2003" s="8" t="s">
        <v>6862</v>
      </c>
      <c r="D2003" s="9" t="s">
        <v>6863</v>
      </c>
      <c r="E2003" s="10" t="str">
        <f>HYPERLINK("https://twitter.com/joakilendi/status/1070195251267149824","1070195251267149824")</f>
        <v>1070195251267149824</v>
      </c>
      <c r="F2003" s="16" t="s">
        <v>1568</v>
      </c>
      <c r="G2003" s="11"/>
      <c r="H2003" s="11"/>
      <c r="I2003" s="12">
        <v>0</v>
      </c>
      <c r="J2003" s="12">
        <v>0</v>
      </c>
      <c r="K2003" s="13" t="str">
        <f>HYPERLINK("http://twitter.com/download/android","Twitter for Android")</f>
        <v>Twitter for Android</v>
      </c>
      <c r="L2003" s="12">
        <v>6</v>
      </c>
      <c r="M2003" s="12">
        <v>16</v>
      </c>
      <c r="N2003" s="12">
        <v>0</v>
      </c>
      <c r="O2003" s="14"/>
      <c r="P2003" s="6">
        <v>41357.337094907409</v>
      </c>
      <c r="Q2003" s="11"/>
      <c r="R2003" s="18"/>
      <c r="S2003" s="11"/>
      <c r="T2003" s="11"/>
      <c r="U2003" s="10" t="str">
        <f>HYPERLINK("https://pbs.twimg.com/profile_images/687023441011175426/l83VR12p.jpg","View")</f>
        <v>View</v>
      </c>
    </row>
    <row r="2004" spans="1:21" ht="30.6">
      <c r="A2004" s="6">
        <v>43439.275335648148</v>
      </c>
      <c r="B2004" s="7" t="str">
        <f>HYPERLINK("https://twitter.com/SergiVikingo","@SergiVikingo")</f>
        <v>@SergiVikingo</v>
      </c>
      <c r="C2004" s="8" t="s">
        <v>1003</v>
      </c>
      <c r="D2004" s="9" t="s">
        <v>6864</v>
      </c>
      <c r="E2004" s="10" t="str">
        <f>HYPERLINK("https://twitter.com/SergiVikingo/status/1070190147881365504","1070190147881365504")</f>
        <v>1070190147881365504</v>
      </c>
      <c r="F2004" s="11"/>
      <c r="G2004" s="11"/>
      <c r="H2004" s="11"/>
      <c r="I2004" s="12">
        <v>0</v>
      </c>
      <c r="J2004" s="12">
        <v>0</v>
      </c>
      <c r="K2004" s="13" t="str">
        <f>HYPERLINK("http://twitter.com/download/iphone","Twitter for iPhone")</f>
        <v>Twitter for iPhone</v>
      </c>
      <c r="L2004" s="12">
        <v>3771</v>
      </c>
      <c r="M2004" s="12">
        <v>958</v>
      </c>
      <c r="N2004" s="12">
        <v>22</v>
      </c>
      <c r="O2004" s="14"/>
      <c r="P2004" s="6">
        <v>41282.883553240739</v>
      </c>
      <c r="Q2004" s="11"/>
      <c r="R2004" s="18"/>
      <c r="S2004" s="11"/>
      <c r="T2004" s="11"/>
      <c r="U2004" s="10" t="str">
        <f>HYPERLINK("https://pbs.twimg.com/profile_images/956259846638198787/5OvGUx8E.jpg","View")</f>
        <v>View</v>
      </c>
    </row>
    <row r="2005" spans="1:21" ht="30.6">
      <c r="A2005" s="6">
        <v>43439.259791666671</v>
      </c>
      <c r="B2005" s="7" t="str">
        <f>HYPERLINK("https://twitter.com/FFCCSSEE","@FFCCSSEE")</f>
        <v>@FFCCSSEE</v>
      </c>
      <c r="C2005" s="8" t="s">
        <v>6865</v>
      </c>
      <c r="D2005" s="9" t="s">
        <v>6866</v>
      </c>
      <c r="E2005" s="10" t="str">
        <f>HYPERLINK("https://twitter.com/FFCCSSEE/status/1070184517212823552","1070184517212823552")</f>
        <v>1070184517212823552</v>
      </c>
      <c r="F2005" s="16" t="s">
        <v>6867</v>
      </c>
      <c r="G2005" s="11"/>
      <c r="H2005" s="11"/>
      <c r="I2005" s="12">
        <v>0</v>
      </c>
      <c r="J2005" s="12">
        <v>0</v>
      </c>
      <c r="K2005" s="13" t="str">
        <f>HYPERLINK("http://twitter.com/download/android","Twitter for Android")</f>
        <v>Twitter for Android</v>
      </c>
      <c r="L2005" s="12">
        <v>140</v>
      </c>
      <c r="M2005" s="12">
        <v>164</v>
      </c>
      <c r="N2005" s="12">
        <v>0</v>
      </c>
      <c r="O2005" s="14"/>
      <c r="P2005" s="6">
        <v>42639.758310185185</v>
      </c>
      <c r="Q2005" s="15" t="s">
        <v>197</v>
      </c>
      <c r="R2005" s="17" t="s">
        <v>6868</v>
      </c>
      <c r="S2005" s="11"/>
      <c r="T2005" s="11"/>
      <c r="U2005" s="10" t="str">
        <f>HYPERLINK("https://pbs.twimg.com/profile_images/1046374499329994753/9JaGcVz4.jpg","View")</f>
        <v>View</v>
      </c>
    </row>
    <row r="2006" spans="1:21" ht="51">
      <c r="A2006" s="6">
        <v>43439.251388888893</v>
      </c>
      <c r="B2006" s="7" t="str">
        <f t="shared" ref="B2006:B2007" si="445">HYPERLINK("https://twitter.com/bitMomentum","@bitMomentum")</f>
        <v>@bitMomentum</v>
      </c>
      <c r="C2006" s="8" t="s">
        <v>82</v>
      </c>
      <c r="D2006" s="9" t="s">
        <v>6869</v>
      </c>
      <c r="E2006" s="10" t="str">
        <f>HYPERLINK("https://twitter.com/bitMomentum/status/1070181469987983361","1070181469987983361")</f>
        <v>1070181469987983361</v>
      </c>
      <c r="F2006" s="11"/>
      <c r="G2006" s="11"/>
      <c r="H2006" s="11"/>
      <c r="I2006" s="12">
        <v>0</v>
      </c>
      <c r="J2006" s="12">
        <v>0</v>
      </c>
      <c r="K2006" s="13" t="str">
        <f t="shared" ref="K2006:K2007" si="446">HYPERLINK("http://www.bitmomentum.com","bitMomentum Bot")</f>
        <v>bitMomentum Bot</v>
      </c>
      <c r="L2006" s="12">
        <v>10253</v>
      </c>
      <c r="M2006" s="12">
        <v>1059</v>
      </c>
      <c r="N2006" s="12">
        <v>263</v>
      </c>
      <c r="O2006" s="14"/>
      <c r="P2006" s="6">
        <v>41608.667511574073</v>
      </c>
      <c r="Q2006" s="11"/>
      <c r="R2006" s="17" t="s">
        <v>84</v>
      </c>
      <c r="S2006" s="16" t="s">
        <v>85</v>
      </c>
      <c r="T2006" s="11"/>
      <c r="U2006" s="10" t="str">
        <f t="shared" ref="U2006:U2007" si="447">HYPERLINK("https://pbs.twimg.com/profile_images/378800000862185241/20ij2H3u.png","View")</f>
        <v>View</v>
      </c>
    </row>
    <row r="2007" spans="1:21" ht="40.799999999999997">
      <c r="A2007" s="6">
        <v>43439.250694444447</v>
      </c>
      <c r="B2007" s="7" t="str">
        <f t="shared" si="445"/>
        <v>@bitMomentum</v>
      </c>
      <c r="C2007" s="8" t="s">
        <v>82</v>
      </c>
      <c r="D2007" s="9" t="s">
        <v>6870</v>
      </c>
      <c r="E2007" s="10" t="str">
        <f>HYPERLINK("https://twitter.com/bitMomentum/status/1070181218359148544","1070181218359148544")</f>
        <v>1070181218359148544</v>
      </c>
      <c r="F2007" s="11"/>
      <c r="G2007" s="11"/>
      <c r="H2007" s="11"/>
      <c r="I2007" s="12">
        <v>0</v>
      </c>
      <c r="J2007" s="12">
        <v>0</v>
      </c>
      <c r="K2007" s="13" t="str">
        <f t="shared" si="446"/>
        <v>bitMomentum Bot</v>
      </c>
      <c r="L2007" s="12">
        <v>10253</v>
      </c>
      <c r="M2007" s="12">
        <v>1059</v>
      </c>
      <c r="N2007" s="12">
        <v>263</v>
      </c>
      <c r="O2007" s="14"/>
      <c r="P2007" s="6">
        <v>41608.667511574073</v>
      </c>
      <c r="Q2007" s="11"/>
      <c r="R2007" s="17" t="s">
        <v>84</v>
      </c>
      <c r="S2007" s="16" t="s">
        <v>85</v>
      </c>
      <c r="T2007" s="11"/>
      <c r="U2007" s="10" t="str">
        <f t="shared" si="447"/>
        <v>View</v>
      </c>
    </row>
    <row r="2008" spans="1:21" ht="91.8">
      <c r="A2008" s="6">
        <v>43439.244016203702</v>
      </c>
      <c r="B2008" s="7" t="str">
        <f>HYPERLINK("https://twitter.com/March25Peru","@March25Peru")</f>
        <v>@March25Peru</v>
      </c>
      <c r="C2008" s="8" t="s">
        <v>6871</v>
      </c>
      <c r="D2008" s="9" t="s">
        <v>6872</v>
      </c>
      <c r="E2008" s="10" t="str">
        <f>HYPERLINK("https://twitter.com/March25Peru/status/1070178799239741443","1070178799239741443")</f>
        <v>1070178799239741443</v>
      </c>
      <c r="F2008" s="16" t="s">
        <v>5850</v>
      </c>
      <c r="G2008" s="11"/>
      <c r="H2008" s="11"/>
      <c r="I2008" s="12">
        <v>2</v>
      </c>
      <c r="J2008" s="12">
        <v>2</v>
      </c>
      <c r="K2008" s="13" t="str">
        <f>HYPERLINK("https://mobile.twitter.com","Twitter Lite")</f>
        <v>Twitter Lite</v>
      </c>
      <c r="L2008" s="12">
        <v>668</v>
      </c>
      <c r="M2008" s="12">
        <v>3156</v>
      </c>
      <c r="N2008" s="12">
        <v>2</v>
      </c>
      <c r="O2008" s="14"/>
      <c r="P2008" s="6">
        <v>42809.264687499999</v>
      </c>
      <c r="Q2008" s="11"/>
      <c r="R2008" s="17" t="s">
        <v>6873</v>
      </c>
      <c r="S2008" s="11"/>
      <c r="T2008" s="11"/>
      <c r="U2008" s="23" t="s">
        <v>437</v>
      </c>
    </row>
    <row r="2009" spans="1:21" ht="81.599999999999994">
      <c r="A2009" s="6">
        <v>43439.228692129633</v>
      </c>
      <c r="B2009" s="7" t="str">
        <f>HYPERLINK("https://twitter.com/winstonsmith03","@winstonsmith03")</f>
        <v>@winstonsmith03</v>
      </c>
      <c r="C2009" s="8" t="s">
        <v>6874</v>
      </c>
      <c r="D2009" s="9" t="s">
        <v>6875</v>
      </c>
      <c r="E2009" s="10" t="str">
        <f>HYPERLINK("https://twitter.com/winstonsmith03/status/1070173246056816642","1070173246056816642")</f>
        <v>1070173246056816642</v>
      </c>
      <c r="F2009" s="16" t="s">
        <v>6876</v>
      </c>
      <c r="G2009" s="16" t="s">
        <v>6877</v>
      </c>
      <c r="H2009" s="11"/>
      <c r="I2009" s="12">
        <v>0</v>
      </c>
      <c r="J2009" s="12">
        <v>0</v>
      </c>
      <c r="K2009" s="13" t="str">
        <f>HYPERLINK("http://twitter.com","Twitter Web Client")</f>
        <v>Twitter Web Client</v>
      </c>
      <c r="L2009" s="12">
        <v>208</v>
      </c>
      <c r="M2009" s="12">
        <v>321</v>
      </c>
      <c r="N2009" s="12">
        <v>1</v>
      </c>
      <c r="O2009" s="14"/>
      <c r="P2009" s="6">
        <v>42804.938900462963</v>
      </c>
      <c r="Q2009" s="11"/>
      <c r="R2009" s="17" t="s">
        <v>6878</v>
      </c>
      <c r="S2009" s="11"/>
      <c r="T2009" s="11"/>
      <c r="U2009" s="10" t="str">
        <f>HYPERLINK("https://pbs.twimg.com/profile_images/925211403534917637/WXV24nb7.jpg","View")</f>
        <v>View</v>
      </c>
    </row>
    <row r="2010" spans="1:21" ht="61.2">
      <c r="A2010" s="6">
        <v>43439.218275462961</v>
      </c>
      <c r="B2010" s="7" t="str">
        <f>HYPERLINK("https://twitter.com/TemplarioGR","@TemplarioGR")</f>
        <v>@TemplarioGR</v>
      </c>
      <c r="C2010" s="8" t="s">
        <v>1097</v>
      </c>
      <c r="D2010" s="9" t="s">
        <v>6879</v>
      </c>
      <c r="E2010" s="10" t="str">
        <f>HYPERLINK("https://twitter.com/TemplarioGR/status/1070169469899689984","1070169469899689984")</f>
        <v>1070169469899689984</v>
      </c>
      <c r="F2010" s="11"/>
      <c r="G2010" s="16" t="s">
        <v>6880</v>
      </c>
      <c r="H2010" s="11"/>
      <c r="I2010" s="12">
        <v>0</v>
      </c>
      <c r="J2010" s="12">
        <v>2</v>
      </c>
      <c r="K2010" s="13" t="str">
        <f>HYPERLINK("http://twitter.com/download/android","Twitter for Android")</f>
        <v>Twitter for Android</v>
      </c>
      <c r="L2010" s="12">
        <v>88</v>
      </c>
      <c r="M2010" s="12">
        <v>170</v>
      </c>
      <c r="N2010" s="12">
        <v>1</v>
      </c>
      <c r="O2010" s="14"/>
      <c r="P2010" s="6">
        <v>43195.097650462965</v>
      </c>
      <c r="Q2010" s="15" t="s">
        <v>1099</v>
      </c>
      <c r="R2010" s="17" t="s">
        <v>1100</v>
      </c>
      <c r="S2010" s="11"/>
      <c r="T2010" s="11"/>
      <c r="U2010" s="10" t="str">
        <f>HYPERLINK("https://pbs.twimg.com/profile_images/983532997696741376/xid7KRm_.jpg","View")</f>
        <v>View</v>
      </c>
    </row>
    <row r="2011" spans="1:21" ht="20.399999999999999">
      <c r="A2011" s="6">
        <v>43439.213159722218</v>
      </c>
      <c r="B2011" s="7" t="str">
        <f>HYPERLINK("https://twitter.com/anpe_sergio","@anpe_sergio")</f>
        <v>@anpe_sergio</v>
      </c>
      <c r="C2011" s="8" t="s">
        <v>6881</v>
      </c>
      <c r="D2011" s="9" t="s">
        <v>5087</v>
      </c>
      <c r="E2011" s="10" t="str">
        <f>HYPERLINK("https://twitter.com/anpe_sergio/status/1070167619544731648","1070167619544731648")</f>
        <v>1070167619544731648</v>
      </c>
      <c r="F2011" s="16" t="s">
        <v>2178</v>
      </c>
      <c r="G2011" s="11"/>
      <c r="H2011" s="11"/>
      <c r="I2011" s="12">
        <v>0</v>
      </c>
      <c r="J2011" s="12">
        <v>0</v>
      </c>
      <c r="K2011" s="13" t="str">
        <f>HYPERLINK("http://twitter.com","Twitter Web Client")</f>
        <v>Twitter Web Client</v>
      </c>
      <c r="L2011" s="12">
        <v>148</v>
      </c>
      <c r="M2011" s="12">
        <v>120</v>
      </c>
      <c r="N2011" s="12">
        <v>23</v>
      </c>
      <c r="O2011" s="14"/>
      <c r="P2011" s="6">
        <v>42260.395520833335</v>
      </c>
      <c r="Q2011" s="15" t="s">
        <v>6882</v>
      </c>
      <c r="R2011" s="17" t="s">
        <v>6883</v>
      </c>
      <c r="S2011" s="11"/>
      <c r="T2011" s="11"/>
      <c r="U2011" s="10" t="str">
        <f>HYPERLINK("https://pbs.twimg.com/profile_images/723462841169285120/A7pEIuWQ.jpg","View")</f>
        <v>View</v>
      </c>
    </row>
    <row r="2012" spans="1:21" ht="51">
      <c r="A2012" s="6">
        <v>43439.209722222222</v>
      </c>
      <c r="B2012" s="7" t="str">
        <f t="shared" ref="B2012:B2013" si="448">HYPERLINK("https://twitter.com/bitMomentum","@bitMomentum")</f>
        <v>@bitMomentum</v>
      </c>
      <c r="C2012" s="8" t="s">
        <v>82</v>
      </c>
      <c r="D2012" s="9" t="s">
        <v>6884</v>
      </c>
      <c r="E2012" s="10" t="str">
        <f>HYPERLINK("https://twitter.com/bitMomentum/status/1070166370795577344","1070166370795577344")</f>
        <v>1070166370795577344</v>
      </c>
      <c r="F2012" s="11"/>
      <c r="G2012" s="11"/>
      <c r="H2012" s="11"/>
      <c r="I2012" s="12">
        <v>0</v>
      </c>
      <c r="J2012" s="12">
        <v>0</v>
      </c>
      <c r="K2012" s="13" t="str">
        <f t="shared" ref="K2012:K2013" si="449">HYPERLINK("http://www.bitmomentum.com","bitMomentum Bot")</f>
        <v>bitMomentum Bot</v>
      </c>
      <c r="L2012" s="12">
        <v>10253</v>
      </c>
      <c r="M2012" s="12">
        <v>1059</v>
      </c>
      <c r="N2012" s="12">
        <v>263</v>
      </c>
      <c r="O2012" s="14"/>
      <c r="P2012" s="6">
        <v>41608.667511574073</v>
      </c>
      <c r="Q2012" s="11"/>
      <c r="R2012" s="17" t="s">
        <v>84</v>
      </c>
      <c r="S2012" s="16" t="s">
        <v>85</v>
      </c>
      <c r="T2012" s="11"/>
      <c r="U2012" s="10" t="str">
        <f t="shared" ref="U2012:U2013" si="450">HYPERLINK("https://pbs.twimg.com/profile_images/378800000862185241/20ij2H3u.png","View")</f>
        <v>View</v>
      </c>
    </row>
    <row r="2013" spans="1:21" ht="51">
      <c r="A2013" s="6">
        <v>43439.209027777775</v>
      </c>
      <c r="B2013" s="7" t="str">
        <f t="shared" si="448"/>
        <v>@bitMomentum</v>
      </c>
      <c r="C2013" s="8" t="s">
        <v>82</v>
      </c>
      <c r="D2013" s="9" t="s">
        <v>6885</v>
      </c>
      <c r="E2013" s="10" t="str">
        <f>HYPERLINK("https://twitter.com/bitMomentum/status/1070166119116353537","1070166119116353537")</f>
        <v>1070166119116353537</v>
      </c>
      <c r="F2013" s="11"/>
      <c r="G2013" s="11"/>
      <c r="H2013" s="11"/>
      <c r="I2013" s="12">
        <v>0</v>
      </c>
      <c r="J2013" s="12">
        <v>0</v>
      </c>
      <c r="K2013" s="13" t="str">
        <f t="shared" si="449"/>
        <v>bitMomentum Bot</v>
      </c>
      <c r="L2013" s="12">
        <v>10253</v>
      </c>
      <c r="M2013" s="12">
        <v>1059</v>
      </c>
      <c r="N2013" s="12">
        <v>263</v>
      </c>
      <c r="O2013" s="14"/>
      <c r="P2013" s="6">
        <v>41608.667511574073</v>
      </c>
      <c r="Q2013" s="11"/>
      <c r="R2013" s="17" t="s">
        <v>84</v>
      </c>
      <c r="S2013" s="16" t="s">
        <v>85</v>
      </c>
      <c r="T2013" s="11"/>
      <c r="U2013" s="10" t="str">
        <f t="shared" si="450"/>
        <v>View</v>
      </c>
    </row>
    <row r="2014" spans="1:21" ht="61.2">
      <c r="A2014" s="6">
        <v>43439.184872685189</v>
      </c>
      <c r="B2014" s="7" t="str">
        <f>HYPERLINK("https://twitter.com/E7ERNOJUANI7O","@E7ERNOJUANI7O")</f>
        <v>@E7ERNOJUANI7O</v>
      </c>
      <c r="C2014" s="8" t="s">
        <v>6886</v>
      </c>
      <c r="D2014" s="9" t="s">
        <v>6887</v>
      </c>
      <c r="E2014" s="10" t="str">
        <f>HYPERLINK("https://twitter.com/E7ERNOJUANI7O/status/1070157368799973376","1070157368799973376")</f>
        <v>1070157368799973376</v>
      </c>
      <c r="F2014" s="16" t="s">
        <v>5850</v>
      </c>
      <c r="G2014" s="11"/>
      <c r="H2014" s="11"/>
      <c r="I2014" s="12">
        <v>0</v>
      </c>
      <c r="J2014" s="12">
        <v>0</v>
      </c>
      <c r="K2014" s="13" t="str">
        <f t="shared" ref="K2014:K2017" si="451">HYPERLINK("http://twitter.com/download/android","Twitter for Android")</f>
        <v>Twitter for Android</v>
      </c>
      <c r="L2014" s="12">
        <v>241</v>
      </c>
      <c r="M2014" s="12">
        <v>449</v>
      </c>
      <c r="N2014" s="12">
        <v>1</v>
      </c>
      <c r="O2014" s="14"/>
      <c r="P2014" s="6">
        <v>41895.999108796299</v>
      </c>
      <c r="Q2014" s="11"/>
      <c r="R2014" s="17" t="s">
        <v>6888</v>
      </c>
      <c r="S2014" s="11"/>
      <c r="T2014" s="11"/>
      <c r="U2014" s="10" t="str">
        <f>HYPERLINK("https://pbs.twimg.com/profile_images/1019615734543118336/VcLTUxAl.jpg","View")</f>
        <v>View</v>
      </c>
    </row>
    <row r="2015" spans="1:21" ht="51">
      <c r="A2015" s="6">
        <v>43439.178090277783</v>
      </c>
      <c r="B2015" s="7" t="str">
        <f>HYPERLINK("https://twitter.com/UlisesGamez10","@UlisesGamez10")</f>
        <v>@UlisesGamez10</v>
      </c>
      <c r="C2015" s="8" t="s">
        <v>233</v>
      </c>
      <c r="D2015" s="9" t="s">
        <v>6889</v>
      </c>
      <c r="E2015" s="10" t="str">
        <f>HYPERLINK("https://twitter.com/UlisesGamez10/status/1070154909553709056","1070154909553709056")</f>
        <v>1070154909553709056</v>
      </c>
      <c r="F2015" s="11"/>
      <c r="G2015" s="16" t="s">
        <v>6890</v>
      </c>
      <c r="H2015" s="11"/>
      <c r="I2015" s="12">
        <v>1</v>
      </c>
      <c r="J2015" s="12">
        <v>1</v>
      </c>
      <c r="K2015" s="13" t="str">
        <f t="shared" si="451"/>
        <v>Twitter for Android</v>
      </c>
      <c r="L2015" s="12">
        <v>1184</v>
      </c>
      <c r="M2015" s="12">
        <v>5002</v>
      </c>
      <c r="N2015" s="12">
        <v>0</v>
      </c>
      <c r="O2015" s="14"/>
      <c r="P2015" s="6">
        <v>43190.59783564815</v>
      </c>
      <c r="Q2015" s="15" t="s">
        <v>236</v>
      </c>
      <c r="R2015" s="17" t="s">
        <v>237</v>
      </c>
      <c r="S2015" s="11"/>
      <c r="T2015" s="11"/>
      <c r="U2015" s="10" t="str">
        <f>HYPERLINK("https://pbs.twimg.com/profile_images/1068881444196499456/MCgxp2WR.jpg","View")</f>
        <v>View</v>
      </c>
    </row>
    <row r="2016" spans="1:21" ht="30.6">
      <c r="A2016" s="6">
        <v>43439.17695601852</v>
      </c>
      <c r="B2016" s="7" t="str">
        <f>HYPERLINK("https://twitter.com/zombiegor","@zombiegor")</f>
        <v>@zombiegor</v>
      </c>
      <c r="C2016" s="8" t="s">
        <v>6891</v>
      </c>
      <c r="D2016" s="9" t="s">
        <v>6892</v>
      </c>
      <c r="E2016" s="10" t="str">
        <f>HYPERLINK("https://twitter.com/zombiegor/status/1070154498679681024","1070154498679681024")</f>
        <v>1070154498679681024</v>
      </c>
      <c r="F2016" s="11"/>
      <c r="G2016" s="11"/>
      <c r="H2016" s="11"/>
      <c r="I2016" s="12">
        <v>0</v>
      </c>
      <c r="J2016" s="12">
        <v>1</v>
      </c>
      <c r="K2016" s="13" t="str">
        <f t="shared" si="451"/>
        <v>Twitter for Android</v>
      </c>
      <c r="L2016" s="12">
        <v>1110</v>
      </c>
      <c r="M2016" s="12">
        <v>761</v>
      </c>
      <c r="N2016" s="12">
        <v>12</v>
      </c>
      <c r="O2016" s="14"/>
      <c r="P2016" s="6">
        <v>40116.045601851853</v>
      </c>
      <c r="Q2016" s="15" t="s">
        <v>6893</v>
      </c>
      <c r="R2016" s="17" t="s">
        <v>6894</v>
      </c>
      <c r="S2016" s="16" t="s">
        <v>6895</v>
      </c>
      <c r="T2016" s="11"/>
      <c r="U2016" s="10" t="str">
        <f>HYPERLINK("https://pbs.twimg.com/profile_images/1065004155759153152/sSsmO4ag.jpg","View")</f>
        <v>View</v>
      </c>
    </row>
    <row r="2017" spans="1:21" ht="20.399999999999999">
      <c r="A2017" s="6">
        <v>43439.176180555558</v>
      </c>
      <c r="B2017" s="7" t="str">
        <f>HYPERLINK("https://twitter.com/MadDogMLG1976","@MadDogMLG1976")</f>
        <v>@MadDogMLG1976</v>
      </c>
      <c r="C2017" s="8" t="s">
        <v>6896</v>
      </c>
      <c r="D2017" s="9" t="s">
        <v>6897</v>
      </c>
      <c r="E2017" s="10" t="str">
        <f>HYPERLINK("https://twitter.com/MadDogMLG1976/status/1070154217237737472","1070154217237737472")</f>
        <v>1070154217237737472</v>
      </c>
      <c r="F2017" s="16" t="s">
        <v>6898</v>
      </c>
      <c r="G2017" s="16" t="s">
        <v>6899</v>
      </c>
      <c r="H2017" s="11"/>
      <c r="I2017" s="12">
        <v>0</v>
      </c>
      <c r="J2017" s="12">
        <v>0</v>
      </c>
      <c r="K2017" s="13" t="str">
        <f t="shared" si="451"/>
        <v>Twitter for Android</v>
      </c>
      <c r="L2017" s="12">
        <v>2669</v>
      </c>
      <c r="M2017" s="12">
        <v>2066</v>
      </c>
      <c r="N2017" s="12">
        <v>65</v>
      </c>
      <c r="O2017" s="14"/>
      <c r="P2017" s="6">
        <v>40568.568090277782</v>
      </c>
      <c r="Q2017" s="15" t="s">
        <v>986</v>
      </c>
      <c r="R2017" s="17" t="s">
        <v>6900</v>
      </c>
      <c r="S2017" s="11"/>
      <c r="T2017" s="11"/>
      <c r="U2017" s="10" t="str">
        <f>HYPERLINK("https://pbs.twimg.com/profile_images/1070962583853821952/6j3EM1UH.jpg","View")</f>
        <v>View</v>
      </c>
    </row>
    <row r="2018" spans="1:21" ht="51">
      <c r="A2018" s="6">
        <v>43439.16805555555</v>
      </c>
      <c r="B2018" s="7" t="str">
        <f>HYPERLINK("https://twitter.com/bitMomentum","@bitMomentum")</f>
        <v>@bitMomentum</v>
      </c>
      <c r="C2018" s="8" t="s">
        <v>82</v>
      </c>
      <c r="D2018" s="9" t="s">
        <v>6901</v>
      </c>
      <c r="E2018" s="10" t="str">
        <f>HYPERLINK("https://twitter.com/bitMomentum/status/1070151271250845696","1070151271250845696")</f>
        <v>1070151271250845696</v>
      </c>
      <c r="F2018" s="11"/>
      <c r="G2018" s="11"/>
      <c r="H2018" s="11"/>
      <c r="I2018" s="12">
        <v>0</v>
      </c>
      <c r="J2018" s="12">
        <v>0</v>
      </c>
      <c r="K2018" s="13" t="str">
        <f>HYPERLINK("http://www.bitmomentum.com","bitMomentum Bot")</f>
        <v>bitMomentum Bot</v>
      </c>
      <c r="L2018" s="12">
        <v>10253</v>
      </c>
      <c r="M2018" s="12">
        <v>1059</v>
      </c>
      <c r="N2018" s="12">
        <v>263</v>
      </c>
      <c r="O2018" s="14"/>
      <c r="P2018" s="6">
        <v>41608.667511574073</v>
      </c>
      <c r="Q2018" s="11"/>
      <c r="R2018" s="17" t="s">
        <v>84</v>
      </c>
      <c r="S2018" s="16" t="s">
        <v>85</v>
      </c>
      <c r="T2018" s="11"/>
      <c r="U2018" s="10" t="str">
        <f>HYPERLINK("https://pbs.twimg.com/profile_images/378800000862185241/20ij2H3u.png","View")</f>
        <v>View</v>
      </c>
    </row>
    <row r="2019" spans="1:21" ht="30.6">
      <c r="A2019" s="6">
        <v>43439.16788194445</v>
      </c>
      <c r="B2019" s="7" t="str">
        <f>HYPERLINK("https://twitter.com/EnriqueSoria2","@EnriqueSoria2")</f>
        <v>@EnriqueSoria2</v>
      </c>
      <c r="C2019" s="8" t="s">
        <v>6902</v>
      </c>
      <c r="D2019" s="9" t="s">
        <v>6903</v>
      </c>
      <c r="E2019" s="10" t="str">
        <f>HYPERLINK("https://twitter.com/EnriqueSoria2/status/1070151211654017025","1070151211654017025")</f>
        <v>1070151211654017025</v>
      </c>
      <c r="F2019" s="16" t="s">
        <v>6904</v>
      </c>
      <c r="G2019" s="11"/>
      <c r="H2019" s="11"/>
      <c r="I2019" s="12">
        <v>0</v>
      </c>
      <c r="J2019" s="12">
        <v>0</v>
      </c>
      <c r="K2019" s="13" t="str">
        <f>HYPERLINK("http://twitter.com","Twitter Web Client")</f>
        <v>Twitter Web Client</v>
      </c>
      <c r="L2019" s="12">
        <v>30</v>
      </c>
      <c r="M2019" s="12">
        <v>97</v>
      </c>
      <c r="N2019" s="12">
        <v>0</v>
      </c>
      <c r="O2019" s="14"/>
      <c r="P2019" s="6">
        <v>40714.590092592596</v>
      </c>
      <c r="Q2019" s="11"/>
      <c r="R2019" s="17" t="s">
        <v>6905</v>
      </c>
      <c r="S2019" s="11"/>
      <c r="T2019" s="11"/>
      <c r="U2019" s="10" t="str">
        <f>HYPERLINK("https://pbs.twimg.com/profile_images/619317989964423168/Ae_QE2Gk.jpg","View")</f>
        <v>View</v>
      </c>
    </row>
    <row r="2020" spans="1:21" ht="51">
      <c r="A2020" s="6">
        <v>43439.167361111111</v>
      </c>
      <c r="B2020" s="7" t="str">
        <f>HYPERLINK("https://twitter.com/bitMomentum","@bitMomentum")</f>
        <v>@bitMomentum</v>
      </c>
      <c r="C2020" s="8" t="s">
        <v>82</v>
      </c>
      <c r="D2020" s="9" t="s">
        <v>6906</v>
      </c>
      <c r="E2020" s="10" t="str">
        <f>HYPERLINK("https://twitter.com/bitMomentum/status/1070151019710025728","1070151019710025728")</f>
        <v>1070151019710025728</v>
      </c>
      <c r="F2020" s="11"/>
      <c r="G2020" s="11"/>
      <c r="H2020" s="11"/>
      <c r="I2020" s="12">
        <v>0</v>
      </c>
      <c r="J2020" s="12">
        <v>0</v>
      </c>
      <c r="K2020" s="13" t="str">
        <f>HYPERLINK("http://www.bitmomentum.com","bitMomentum Bot")</f>
        <v>bitMomentum Bot</v>
      </c>
      <c r="L2020" s="12">
        <v>10253</v>
      </c>
      <c r="M2020" s="12">
        <v>1059</v>
      </c>
      <c r="N2020" s="12">
        <v>263</v>
      </c>
      <c r="O2020" s="14"/>
      <c r="P2020" s="6">
        <v>41608.667511574073</v>
      </c>
      <c r="Q2020" s="11"/>
      <c r="R2020" s="17" t="s">
        <v>84</v>
      </c>
      <c r="S2020" s="16" t="s">
        <v>85</v>
      </c>
      <c r="T2020" s="11"/>
      <c r="U2020" s="10" t="str">
        <f>HYPERLINK("https://pbs.twimg.com/profile_images/378800000862185241/20ij2H3u.png","View")</f>
        <v>View</v>
      </c>
    </row>
    <row r="2021" spans="1:21" ht="51">
      <c r="A2021" s="6">
        <v>43439.160671296297</v>
      </c>
      <c r="B2021" s="7" t="str">
        <f>HYPERLINK("https://twitter.com/TauroLoren","@TauroLoren")</f>
        <v>@TauroLoren</v>
      </c>
      <c r="C2021" s="8" t="s">
        <v>6907</v>
      </c>
      <c r="D2021" s="9" t="s">
        <v>6908</v>
      </c>
      <c r="E2021" s="10" t="str">
        <f>HYPERLINK("https://twitter.com/TauroLoren/status/1070148596291563520","1070148596291563520")</f>
        <v>1070148596291563520</v>
      </c>
      <c r="F2021" s="11"/>
      <c r="G2021" s="11"/>
      <c r="H2021" s="11"/>
      <c r="I2021" s="12">
        <v>2</v>
      </c>
      <c r="J2021" s="12">
        <v>3</v>
      </c>
      <c r="K2021" s="13" t="str">
        <f>HYPERLINK("http://twitter.com","Twitter Web Client")</f>
        <v>Twitter Web Client</v>
      </c>
      <c r="L2021" s="12">
        <v>75</v>
      </c>
      <c r="M2021" s="12">
        <v>107</v>
      </c>
      <c r="N2021" s="12">
        <v>2</v>
      </c>
      <c r="O2021" s="14"/>
      <c r="P2021" s="6">
        <v>42979.564004629632</v>
      </c>
      <c r="Q2021" s="15" t="s">
        <v>185</v>
      </c>
      <c r="R2021" s="17" t="s">
        <v>6909</v>
      </c>
      <c r="S2021" s="11"/>
      <c r="T2021" s="11"/>
      <c r="U2021" s="10" t="str">
        <f>HYPERLINK("https://pbs.twimg.com/profile_images/965950064064679939/2Fpj0_S6.jpg","View")</f>
        <v>View</v>
      </c>
    </row>
    <row r="2022" spans="1:21" ht="51">
      <c r="A2022" s="6">
        <v>43439.15048611111</v>
      </c>
      <c r="B2022" s="7" t="str">
        <f>HYPERLINK("https://twitter.com/UlisesGamez10","@UlisesGamez10")</f>
        <v>@UlisesGamez10</v>
      </c>
      <c r="C2022" s="8" t="s">
        <v>233</v>
      </c>
      <c r="D2022" s="9" t="s">
        <v>6910</v>
      </c>
      <c r="E2022" s="10" t="str">
        <f>HYPERLINK("https://twitter.com/UlisesGamez10/status/1070144907338235904","1070144907338235904")</f>
        <v>1070144907338235904</v>
      </c>
      <c r="F2022" s="11"/>
      <c r="G2022" s="16" t="s">
        <v>6911</v>
      </c>
      <c r="H2022" s="11"/>
      <c r="I2022" s="12">
        <v>0</v>
      </c>
      <c r="J2022" s="12">
        <v>0</v>
      </c>
      <c r="K2022" s="13" t="str">
        <f>HYPERLINK("http://twitter.com/download/android","Twitter for Android")</f>
        <v>Twitter for Android</v>
      </c>
      <c r="L2022" s="12">
        <v>1184</v>
      </c>
      <c r="M2022" s="12">
        <v>5002</v>
      </c>
      <c r="N2022" s="12">
        <v>0</v>
      </c>
      <c r="O2022" s="14"/>
      <c r="P2022" s="6">
        <v>43190.59783564815</v>
      </c>
      <c r="Q2022" s="15" t="s">
        <v>236</v>
      </c>
      <c r="R2022" s="17" t="s">
        <v>237</v>
      </c>
      <c r="S2022" s="11"/>
      <c r="T2022" s="11"/>
      <c r="U2022" s="10" t="str">
        <f>HYPERLINK("https://pbs.twimg.com/profile_images/1068881444196499456/MCgxp2WR.jpg","View")</f>
        <v>View</v>
      </c>
    </row>
    <row r="2023" spans="1:21" ht="40.799999999999997">
      <c r="A2023" s="6">
        <v>43439.138645833329</v>
      </c>
      <c r="B2023" s="7" t="str">
        <f>HYPERLINK("https://twitter.com/Rcdespanyol66","@Rcdespanyol66")</f>
        <v>@Rcdespanyol66</v>
      </c>
      <c r="C2023" s="8" t="s">
        <v>6912</v>
      </c>
      <c r="D2023" s="9" t="s">
        <v>6913</v>
      </c>
      <c r="E2023" s="10" t="str">
        <f>HYPERLINK("https://twitter.com/Rcdespanyol66/status/1070140616967946240","1070140616967946240")</f>
        <v>1070140616967946240</v>
      </c>
      <c r="F2023" s="15" t="s">
        <v>6914</v>
      </c>
      <c r="G2023" s="11"/>
      <c r="H2023" s="11"/>
      <c r="I2023" s="12">
        <v>0</v>
      </c>
      <c r="J2023" s="12">
        <v>0</v>
      </c>
      <c r="K2023" s="13" t="str">
        <f>HYPERLINK("http://twitter.com","Twitter Web Client")</f>
        <v>Twitter Web Client</v>
      </c>
      <c r="L2023" s="12">
        <v>555</v>
      </c>
      <c r="M2023" s="12">
        <v>556</v>
      </c>
      <c r="N2023" s="12">
        <v>5</v>
      </c>
      <c r="O2023" s="14"/>
      <c r="P2023" s="6">
        <v>42582.510023148148</v>
      </c>
      <c r="Q2023" s="15" t="s">
        <v>6915</v>
      </c>
      <c r="R2023" s="17" t="s">
        <v>6916</v>
      </c>
      <c r="S2023" s="11"/>
      <c r="T2023" s="11"/>
      <c r="U2023" s="10" t="str">
        <f>HYPERLINK("https://pbs.twimg.com/profile_images/1038919693426409473/2wOKQymo.jpg","View")</f>
        <v>View</v>
      </c>
    </row>
    <row r="2024" spans="1:21" ht="51">
      <c r="A2024" s="6">
        <v>43439.126388888893</v>
      </c>
      <c r="B2024" s="7" t="str">
        <f t="shared" ref="B2024:B2025" si="452">HYPERLINK("https://twitter.com/bitMomentum","@bitMomentum")</f>
        <v>@bitMomentum</v>
      </c>
      <c r="C2024" s="8" t="s">
        <v>82</v>
      </c>
      <c r="D2024" s="9" t="s">
        <v>6917</v>
      </c>
      <c r="E2024" s="10" t="str">
        <f>HYPERLINK("https://twitter.com/bitMomentum/status/1070136171810996224","1070136171810996224")</f>
        <v>1070136171810996224</v>
      </c>
      <c r="F2024" s="11"/>
      <c r="G2024" s="11"/>
      <c r="H2024" s="11"/>
      <c r="I2024" s="12">
        <v>0</v>
      </c>
      <c r="J2024" s="12">
        <v>0</v>
      </c>
      <c r="K2024" s="13" t="str">
        <f t="shared" ref="K2024:K2025" si="453">HYPERLINK("http://www.bitmomentum.com","bitMomentum Bot")</f>
        <v>bitMomentum Bot</v>
      </c>
      <c r="L2024" s="12">
        <v>10253</v>
      </c>
      <c r="M2024" s="12">
        <v>1059</v>
      </c>
      <c r="N2024" s="12">
        <v>263</v>
      </c>
      <c r="O2024" s="14"/>
      <c r="P2024" s="6">
        <v>41608.667511574073</v>
      </c>
      <c r="Q2024" s="11"/>
      <c r="R2024" s="17" t="s">
        <v>84</v>
      </c>
      <c r="S2024" s="16" t="s">
        <v>85</v>
      </c>
      <c r="T2024" s="11"/>
      <c r="U2024" s="10" t="str">
        <f t="shared" ref="U2024:U2025" si="454">HYPERLINK("https://pbs.twimg.com/profile_images/378800000862185241/20ij2H3u.png","View")</f>
        <v>View</v>
      </c>
    </row>
    <row r="2025" spans="1:21" ht="51">
      <c r="A2025" s="6">
        <v>43439.125694444447</v>
      </c>
      <c r="B2025" s="7" t="str">
        <f t="shared" si="452"/>
        <v>@bitMomentum</v>
      </c>
      <c r="C2025" s="8" t="s">
        <v>82</v>
      </c>
      <c r="D2025" s="9" t="s">
        <v>6918</v>
      </c>
      <c r="E2025" s="10" t="str">
        <f>HYPERLINK("https://twitter.com/bitMomentum/status/1070135919934652416","1070135919934652416")</f>
        <v>1070135919934652416</v>
      </c>
      <c r="F2025" s="11"/>
      <c r="G2025" s="11"/>
      <c r="H2025" s="11"/>
      <c r="I2025" s="12">
        <v>0</v>
      </c>
      <c r="J2025" s="12">
        <v>0</v>
      </c>
      <c r="K2025" s="13" t="str">
        <f t="shared" si="453"/>
        <v>bitMomentum Bot</v>
      </c>
      <c r="L2025" s="12">
        <v>10253</v>
      </c>
      <c r="M2025" s="12">
        <v>1059</v>
      </c>
      <c r="N2025" s="12">
        <v>263</v>
      </c>
      <c r="O2025" s="14"/>
      <c r="P2025" s="6">
        <v>41608.667511574073</v>
      </c>
      <c r="Q2025" s="11"/>
      <c r="R2025" s="17" t="s">
        <v>84</v>
      </c>
      <c r="S2025" s="16" t="s">
        <v>85</v>
      </c>
      <c r="T2025" s="11"/>
      <c r="U2025" s="10" t="str">
        <f t="shared" si="454"/>
        <v>View</v>
      </c>
    </row>
    <row r="2026" spans="1:21" ht="30.6">
      <c r="A2026" s="6">
        <v>43439.114687499998</v>
      </c>
      <c r="B2026" s="7" t="str">
        <f>HYPERLINK("https://twitter.com/VOXgijon","@VOXgijon")</f>
        <v>@VOXgijon</v>
      </c>
      <c r="C2026" s="8" t="s">
        <v>6919</v>
      </c>
      <c r="D2026" s="9" t="s">
        <v>6920</v>
      </c>
      <c r="E2026" s="10" t="str">
        <f>HYPERLINK("https://twitter.com/VOXgijon/status/1070131932573458432","1070131932573458432")</f>
        <v>1070131932573458432</v>
      </c>
      <c r="F2026" s="16" t="s">
        <v>6921</v>
      </c>
      <c r="G2026" s="11"/>
      <c r="H2026" s="11"/>
      <c r="I2026" s="12">
        <v>2</v>
      </c>
      <c r="J2026" s="12">
        <v>3</v>
      </c>
      <c r="K2026" s="13" t="str">
        <f>HYPERLINK("http://twitter.com/download/iphone","Twitter for iPhone")</f>
        <v>Twitter for iPhone</v>
      </c>
      <c r="L2026" s="12">
        <v>331</v>
      </c>
      <c r="M2026" s="12">
        <v>183</v>
      </c>
      <c r="N2026" s="12">
        <v>1</v>
      </c>
      <c r="O2026" s="14"/>
      <c r="P2026" s="6">
        <v>43237.660810185189</v>
      </c>
      <c r="Q2026" s="15" t="s">
        <v>6922</v>
      </c>
      <c r="R2026" s="17" t="s">
        <v>6923</v>
      </c>
      <c r="S2026" s="16" t="s">
        <v>2218</v>
      </c>
      <c r="T2026" s="11"/>
      <c r="U2026" s="10" t="str">
        <f>HYPERLINK("https://pbs.twimg.com/profile_images/1024572068568985600/hkCAr7zG.jpg","View")</f>
        <v>View</v>
      </c>
    </row>
    <row r="2027" spans="1:21" ht="91.8">
      <c r="A2027" s="6">
        <v>43439.114490740743</v>
      </c>
      <c r="B2027" s="7" t="str">
        <f>HYPERLINK("https://twitter.com/JD0k95","@JD0k95")</f>
        <v>@JD0k95</v>
      </c>
      <c r="C2027" s="8" t="s">
        <v>6924</v>
      </c>
      <c r="D2027" s="9" t="s">
        <v>6925</v>
      </c>
      <c r="E2027" s="10" t="str">
        <f>HYPERLINK("https://twitter.com/JD0k95/status/1070131862981537792","1070131862981537792")</f>
        <v>1070131862981537792</v>
      </c>
      <c r="F2027" s="16" t="s">
        <v>6926</v>
      </c>
      <c r="G2027" s="11"/>
      <c r="H2027" s="11"/>
      <c r="I2027" s="12">
        <v>0</v>
      </c>
      <c r="J2027" s="12">
        <v>1</v>
      </c>
      <c r="K2027" s="13" t="str">
        <f t="shared" ref="K2027:K2028" si="455">HYPERLINK("http://twitter.com/download/android","Twitter for Android")</f>
        <v>Twitter for Android</v>
      </c>
      <c r="L2027" s="12">
        <v>98</v>
      </c>
      <c r="M2027" s="12">
        <v>313</v>
      </c>
      <c r="N2027" s="12">
        <v>0</v>
      </c>
      <c r="O2027" s="14"/>
      <c r="P2027" s="6">
        <v>42604.674386574072</v>
      </c>
      <c r="Q2027" s="15" t="s">
        <v>986</v>
      </c>
      <c r="R2027" s="17" t="s">
        <v>6927</v>
      </c>
      <c r="S2027" s="11"/>
      <c r="T2027" s="11"/>
      <c r="U2027" s="10" t="str">
        <f>HYPERLINK("https://pbs.twimg.com/profile_images/1003952270491422720/B1q-Edg7.jpg","View")</f>
        <v>View</v>
      </c>
    </row>
    <row r="2028" spans="1:21" ht="40.799999999999997">
      <c r="A2028" s="6">
        <v>43439.087546296301</v>
      </c>
      <c r="B2028" s="7" t="str">
        <f>HYPERLINK("https://twitter.com/Catarrao1","@Catarrao1")</f>
        <v>@Catarrao1</v>
      </c>
      <c r="C2028" s="8" t="s">
        <v>6928</v>
      </c>
      <c r="D2028" s="9" t="s">
        <v>6929</v>
      </c>
      <c r="E2028" s="10" t="str">
        <f>HYPERLINK("https://twitter.com/Catarrao1/status/1070122098343993345","1070122098343993345")</f>
        <v>1070122098343993345</v>
      </c>
      <c r="F2028" s="15" t="s">
        <v>6930</v>
      </c>
      <c r="G2028" s="16" t="s">
        <v>6931</v>
      </c>
      <c r="H2028" s="11"/>
      <c r="I2028" s="12">
        <v>7</v>
      </c>
      <c r="J2028" s="12">
        <v>4</v>
      </c>
      <c r="K2028" s="13" t="str">
        <f t="shared" si="455"/>
        <v>Twitter for Android</v>
      </c>
      <c r="L2028" s="12">
        <v>1389</v>
      </c>
      <c r="M2028" s="12">
        <v>99</v>
      </c>
      <c r="N2028" s="12">
        <v>8</v>
      </c>
      <c r="O2028" s="14"/>
      <c r="P2028" s="6">
        <v>43306.989745370374</v>
      </c>
      <c r="Q2028" s="15" t="s">
        <v>6932</v>
      </c>
      <c r="R2028" s="17" t="s">
        <v>6933</v>
      </c>
      <c r="S2028" s="11"/>
      <c r="T2028" s="11"/>
      <c r="U2028" s="10" t="str">
        <f>HYPERLINK("https://pbs.twimg.com/profile_images/1070341545784737792/td-VW7yV.jpg","View")</f>
        <v>View</v>
      </c>
    </row>
    <row r="2029" spans="1:21" ht="51">
      <c r="A2029" s="6">
        <v>43439.084722222222</v>
      </c>
      <c r="B2029" s="7" t="str">
        <f t="shared" ref="B2029:B2030" si="456">HYPERLINK("https://twitter.com/bitMomentum","@bitMomentum")</f>
        <v>@bitMomentum</v>
      </c>
      <c r="C2029" s="8" t="s">
        <v>82</v>
      </c>
      <c r="D2029" s="9" t="s">
        <v>6934</v>
      </c>
      <c r="E2029" s="10" t="str">
        <f>HYPERLINK("https://twitter.com/bitMomentum/status/1070121072048136197","1070121072048136197")</f>
        <v>1070121072048136197</v>
      </c>
      <c r="F2029" s="11"/>
      <c r="G2029" s="11"/>
      <c r="H2029" s="11"/>
      <c r="I2029" s="12">
        <v>0</v>
      </c>
      <c r="J2029" s="12">
        <v>0</v>
      </c>
      <c r="K2029" s="13" t="str">
        <f t="shared" ref="K2029:K2030" si="457">HYPERLINK("http://www.bitmomentum.com","bitMomentum Bot")</f>
        <v>bitMomentum Bot</v>
      </c>
      <c r="L2029" s="12">
        <v>10253</v>
      </c>
      <c r="M2029" s="12">
        <v>1059</v>
      </c>
      <c r="N2029" s="12">
        <v>263</v>
      </c>
      <c r="O2029" s="14"/>
      <c r="P2029" s="6">
        <v>41608.667511574073</v>
      </c>
      <c r="Q2029" s="11"/>
      <c r="R2029" s="17" t="s">
        <v>84</v>
      </c>
      <c r="S2029" s="16" t="s">
        <v>85</v>
      </c>
      <c r="T2029" s="11"/>
      <c r="U2029" s="10" t="str">
        <f t="shared" ref="U2029:U2030" si="458">HYPERLINK("https://pbs.twimg.com/profile_images/378800000862185241/20ij2H3u.png","View")</f>
        <v>View</v>
      </c>
    </row>
    <row r="2030" spans="1:21" ht="51">
      <c r="A2030" s="6">
        <v>43439.084027777775</v>
      </c>
      <c r="B2030" s="7" t="str">
        <f t="shared" si="456"/>
        <v>@bitMomentum</v>
      </c>
      <c r="C2030" s="8" t="s">
        <v>82</v>
      </c>
      <c r="D2030" s="9" t="s">
        <v>6935</v>
      </c>
      <c r="E2030" s="10" t="str">
        <f>HYPERLINK("https://twitter.com/bitMomentum/status/1070120820649943040","1070120820649943040")</f>
        <v>1070120820649943040</v>
      </c>
      <c r="F2030" s="11"/>
      <c r="G2030" s="11"/>
      <c r="H2030" s="11"/>
      <c r="I2030" s="12">
        <v>0</v>
      </c>
      <c r="J2030" s="12">
        <v>0</v>
      </c>
      <c r="K2030" s="13" t="str">
        <f t="shared" si="457"/>
        <v>bitMomentum Bot</v>
      </c>
      <c r="L2030" s="12">
        <v>10253</v>
      </c>
      <c r="M2030" s="12">
        <v>1059</v>
      </c>
      <c r="N2030" s="12">
        <v>263</v>
      </c>
      <c r="O2030" s="14"/>
      <c r="P2030" s="6">
        <v>41608.667511574073</v>
      </c>
      <c r="Q2030" s="11"/>
      <c r="R2030" s="17" t="s">
        <v>84</v>
      </c>
      <c r="S2030" s="16" t="s">
        <v>85</v>
      </c>
      <c r="T2030" s="11"/>
      <c r="U2030" s="10" t="str">
        <f t="shared" si="458"/>
        <v>View</v>
      </c>
    </row>
    <row r="2031" spans="1:21" ht="51">
      <c r="A2031" s="6">
        <v>43439.083310185189</v>
      </c>
      <c r="B2031" s="7" t="str">
        <f>HYPERLINK("https://twitter.com/danijfv","@danijfv")</f>
        <v>@danijfv</v>
      </c>
      <c r="C2031" s="8" t="s">
        <v>6936</v>
      </c>
      <c r="D2031" s="9" t="s">
        <v>6937</v>
      </c>
      <c r="E2031" s="10" t="str">
        <f>HYPERLINK("https://twitter.com/danijfv/status/1070120560301101056","1070120560301101056")</f>
        <v>1070120560301101056</v>
      </c>
      <c r="F2031" s="11"/>
      <c r="G2031" s="16" t="s">
        <v>6938</v>
      </c>
      <c r="H2031" s="11"/>
      <c r="I2031" s="12">
        <v>0</v>
      </c>
      <c r="J2031" s="12">
        <v>0</v>
      </c>
      <c r="K2031" s="13" t="str">
        <f>HYPERLINK("http://twitter.com/download/iphone","Twitter for iPhone")</f>
        <v>Twitter for iPhone</v>
      </c>
      <c r="L2031" s="12">
        <v>348</v>
      </c>
      <c r="M2031" s="12">
        <v>637</v>
      </c>
      <c r="N2031" s="12">
        <v>7</v>
      </c>
      <c r="O2031" s="14"/>
      <c r="P2031" s="6">
        <v>40573.716886574075</v>
      </c>
      <c r="Q2031" s="11"/>
      <c r="R2031" s="17" t="s">
        <v>6939</v>
      </c>
      <c r="S2031" s="11"/>
      <c r="T2031" s="11"/>
      <c r="U2031" s="10" t="str">
        <f>HYPERLINK("https://pbs.twimg.com/profile_images/1043902189629034496/FwgydwJX.jpg","View")</f>
        <v>View</v>
      </c>
    </row>
    <row r="2032" spans="1:21" ht="20.399999999999999">
      <c r="A2032" s="6">
        <v>43439.081041666665</v>
      </c>
      <c r="B2032" s="7" t="str">
        <f>HYPERLINK("https://twitter.com/_4N63L","@_4N63L")</f>
        <v>@_4N63L</v>
      </c>
      <c r="C2032" s="8" t="s">
        <v>6940</v>
      </c>
      <c r="D2032" s="9" t="s">
        <v>6941</v>
      </c>
      <c r="E2032" s="10" t="str">
        <f>HYPERLINK("https://twitter.com/_4N63L/status/1070119740113334272","1070119740113334272")</f>
        <v>1070119740113334272</v>
      </c>
      <c r="F2032" s="11"/>
      <c r="G2032" s="16" t="s">
        <v>6942</v>
      </c>
      <c r="H2032" s="11"/>
      <c r="I2032" s="12">
        <v>1</v>
      </c>
      <c r="J2032" s="12">
        <v>1</v>
      </c>
      <c r="K2032" s="13" t="str">
        <f t="shared" ref="K2032:K2033" si="459">HYPERLINK("http://twitter.com/download/android","Twitter for Android")</f>
        <v>Twitter for Android</v>
      </c>
      <c r="L2032" s="12">
        <v>109</v>
      </c>
      <c r="M2032" s="12">
        <v>127</v>
      </c>
      <c r="N2032" s="12">
        <v>2</v>
      </c>
      <c r="O2032" s="14"/>
      <c r="P2032" s="6">
        <v>40948.828171296293</v>
      </c>
      <c r="Q2032" s="15" t="s">
        <v>6943</v>
      </c>
      <c r="R2032" s="17" t="s">
        <v>6944</v>
      </c>
      <c r="S2032" s="11"/>
      <c r="T2032" s="11"/>
      <c r="U2032" s="10" t="str">
        <f>HYPERLINK("https://pbs.twimg.com/profile_images/1063510565862154240/rlSrjfH7.jpg","View")</f>
        <v>View</v>
      </c>
    </row>
    <row r="2033" spans="1:21" ht="40.799999999999997">
      <c r="A2033" s="6">
        <v>43439.077534722222</v>
      </c>
      <c r="B2033" s="7" t="str">
        <f>HYPERLINK("https://twitter.com/faupar","@faupar")</f>
        <v>@faupar</v>
      </c>
      <c r="C2033" s="8" t="s">
        <v>6945</v>
      </c>
      <c r="D2033" s="9" t="s">
        <v>6946</v>
      </c>
      <c r="E2033" s="10" t="str">
        <f>HYPERLINK("https://twitter.com/faupar/status/1070118468626907138","1070118468626907138")</f>
        <v>1070118468626907138</v>
      </c>
      <c r="F2033" s="11"/>
      <c r="G2033" s="11"/>
      <c r="H2033" s="11"/>
      <c r="I2033" s="12">
        <v>0</v>
      </c>
      <c r="J2033" s="12">
        <v>0</v>
      </c>
      <c r="K2033" s="13" t="str">
        <f t="shared" si="459"/>
        <v>Twitter for Android</v>
      </c>
      <c r="L2033" s="12">
        <v>941</v>
      </c>
      <c r="M2033" s="12">
        <v>2374</v>
      </c>
      <c r="N2033" s="12">
        <v>10</v>
      </c>
      <c r="O2033" s="14"/>
      <c r="P2033" s="6">
        <v>40179.218888888892</v>
      </c>
      <c r="Q2033" s="15" t="s">
        <v>44</v>
      </c>
      <c r="R2033" s="17" t="s">
        <v>6947</v>
      </c>
      <c r="S2033" s="11"/>
      <c r="T2033" s="11"/>
      <c r="U2033" s="10" t="str">
        <f>HYPERLINK("https://pbs.twimg.com/profile_images/472811919120678912/ygFdQipw.jpeg","View")</f>
        <v>View</v>
      </c>
    </row>
    <row r="2034" spans="1:21" ht="30.6">
      <c r="A2034" s="6">
        <v>43439.075787037036</v>
      </c>
      <c r="B2034" s="7" t="str">
        <f>HYPERLINK("https://twitter.com/Emiliano_gb","@Emiliano_gb")</f>
        <v>@Emiliano_gb</v>
      </c>
      <c r="C2034" s="8" t="s">
        <v>6948</v>
      </c>
      <c r="D2034" s="9" t="s">
        <v>6949</v>
      </c>
      <c r="E2034" s="10" t="str">
        <f>HYPERLINK("https://twitter.com/Emiliano_gb/status/1070117835807043584","1070117835807043584")</f>
        <v>1070117835807043584</v>
      </c>
      <c r="F2034" s="11"/>
      <c r="G2034" s="11"/>
      <c r="H2034" s="11"/>
      <c r="I2034" s="12">
        <v>1</v>
      </c>
      <c r="J2034" s="12">
        <v>2</v>
      </c>
      <c r="K2034" s="13" t="str">
        <f t="shared" ref="K2034:K2035" si="460">HYPERLINK("http://twitter.com/download/iphone","Twitter for iPhone")</f>
        <v>Twitter for iPhone</v>
      </c>
      <c r="L2034" s="12">
        <v>1521</v>
      </c>
      <c r="M2034" s="12">
        <v>1590</v>
      </c>
      <c r="N2034" s="12">
        <v>8</v>
      </c>
      <c r="O2034" s="14"/>
      <c r="P2034" s="6">
        <v>40431.214849537035</v>
      </c>
      <c r="Q2034" s="15" t="s">
        <v>6950</v>
      </c>
      <c r="R2034" s="17" t="s">
        <v>6951</v>
      </c>
      <c r="S2034" s="11"/>
      <c r="T2034" s="11"/>
      <c r="U2034" s="10" t="str">
        <f>HYPERLINK("https://pbs.twimg.com/profile_images/989882457389502464/axdDoQ-w.jpg","View")</f>
        <v>View</v>
      </c>
    </row>
    <row r="2035" spans="1:21" ht="51">
      <c r="A2035" s="6">
        <v>43439.072453703702</v>
      </c>
      <c r="B2035" s="7" t="str">
        <f>HYPERLINK("https://twitter.com/worldwiderable","@worldwiderable")</f>
        <v>@worldwiderable</v>
      </c>
      <c r="C2035" s="8" t="s">
        <v>6952</v>
      </c>
      <c r="D2035" s="9" t="s">
        <v>6953</v>
      </c>
      <c r="E2035" s="10" t="str">
        <f>HYPERLINK("https://twitter.com/worldwiderable/status/1070116626043936770","1070116626043936770")</f>
        <v>1070116626043936770</v>
      </c>
      <c r="F2035" s="11"/>
      <c r="G2035" s="11"/>
      <c r="H2035" s="11"/>
      <c r="I2035" s="12">
        <v>0</v>
      </c>
      <c r="J2035" s="12">
        <v>1</v>
      </c>
      <c r="K2035" s="13" t="str">
        <f t="shared" si="460"/>
        <v>Twitter for iPhone</v>
      </c>
      <c r="L2035" s="12">
        <v>1119</v>
      </c>
      <c r="M2035" s="12">
        <v>378</v>
      </c>
      <c r="N2035" s="12">
        <v>25</v>
      </c>
      <c r="O2035" s="14"/>
      <c r="P2035" s="6">
        <v>40566.560694444444</v>
      </c>
      <c r="Q2035" s="15" t="s">
        <v>6954</v>
      </c>
      <c r="R2035" s="17" t="s">
        <v>6955</v>
      </c>
      <c r="S2035" s="11"/>
      <c r="T2035" s="11"/>
      <c r="U2035" s="10" t="str">
        <f>HYPERLINK("https://pbs.twimg.com/profile_images/1010981191955177472/ENtF_173.jpg","View")</f>
        <v>View</v>
      </c>
    </row>
    <row r="2036" spans="1:21" ht="30.6">
      <c r="A2036" s="6">
        <v>43439.063159722224</v>
      </c>
      <c r="B2036" s="7" t="str">
        <f>HYPERLINK("https://twitter.com/pereztoribio","@pereztoribio")</f>
        <v>@pereztoribio</v>
      </c>
      <c r="C2036" s="8" t="s">
        <v>6956</v>
      </c>
      <c r="D2036" s="9" t="s">
        <v>6957</v>
      </c>
      <c r="E2036" s="10" t="str">
        <f>HYPERLINK("https://twitter.com/pereztoribio/status/1070113260282757121","1070113260282757121")</f>
        <v>1070113260282757121</v>
      </c>
      <c r="F2036" s="11"/>
      <c r="G2036" s="11"/>
      <c r="H2036" s="11"/>
      <c r="I2036" s="12">
        <v>2</v>
      </c>
      <c r="J2036" s="12">
        <v>9</v>
      </c>
      <c r="K2036" s="13" t="str">
        <f t="shared" ref="K2036:K2037" si="461">HYPERLINK("http://twitter.com/download/android","Twitter for Android")</f>
        <v>Twitter for Android</v>
      </c>
      <c r="L2036" s="12">
        <v>1048</v>
      </c>
      <c r="M2036" s="12">
        <v>1290</v>
      </c>
      <c r="N2036" s="12">
        <v>18</v>
      </c>
      <c r="O2036" s="14"/>
      <c r="P2036" s="6">
        <v>40627.693310185183</v>
      </c>
      <c r="Q2036" s="15" t="s">
        <v>6958</v>
      </c>
      <c r="R2036" s="17" t="s">
        <v>6959</v>
      </c>
      <c r="S2036" s="16" t="s">
        <v>6960</v>
      </c>
      <c r="T2036" s="11"/>
      <c r="U2036" s="10" t="str">
        <f>HYPERLINK("https://pbs.twimg.com/profile_images/1050758398491414530/RIVmYn-P.jpg","View")</f>
        <v>View</v>
      </c>
    </row>
    <row r="2037" spans="1:21" ht="13.2">
      <c r="A2037" s="6">
        <v>43439.061793981484</v>
      </c>
      <c r="B2037" s="7" t="str">
        <f>HYPERLINK("https://twitter.com/castropique","@castropique")</f>
        <v>@castropique</v>
      </c>
      <c r="C2037" s="8" t="s">
        <v>6961</v>
      </c>
      <c r="D2037" s="9" t="s">
        <v>6962</v>
      </c>
      <c r="E2037" s="10" t="str">
        <f>HYPERLINK("https://twitter.com/castropique/status/1070112765908533249","1070112765908533249")</f>
        <v>1070112765908533249</v>
      </c>
      <c r="F2037" s="11"/>
      <c r="G2037" s="11"/>
      <c r="H2037" s="11"/>
      <c r="I2037" s="12">
        <v>1</v>
      </c>
      <c r="J2037" s="12">
        <v>3</v>
      </c>
      <c r="K2037" s="13" t="str">
        <f t="shared" si="461"/>
        <v>Twitter for Android</v>
      </c>
      <c r="L2037" s="12">
        <v>10</v>
      </c>
      <c r="M2037" s="12">
        <v>54</v>
      </c>
      <c r="N2037" s="12">
        <v>0</v>
      </c>
      <c r="O2037" s="14"/>
      <c r="P2037" s="6">
        <v>40920.756631944445</v>
      </c>
      <c r="Q2037" s="11"/>
      <c r="R2037" s="18"/>
      <c r="S2037" s="11"/>
      <c r="T2037" s="11"/>
      <c r="U2037" s="10" t="str">
        <f>HYPERLINK("https://pbs.twimg.com/profile_images/523983698279288832/aSoj1vHl.jpeg","View")</f>
        <v>View</v>
      </c>
    </row>
    <row r="2038" spans="1:21" ht="71.400000000000006">
      <c r="A2038" s="6">
        <v>43439.0471875</v>
      </c>
      <c r="B2038" s="7" t="str">
        <f>HYPERLINK("https://twitter.com/El_Cid_Vive","@El_Cid_Vive")</f>
        <v>@El_Cid_Vive</v>
      </c>
      <c r="C2038" s="8" t="s">
        <v>3246</v>
      </c>
      <c r="D2038" s="9" t="s">
        <v>6963</v>
      </c>
      <c r="E2038" s="10" t="str">
        <f>HYPERLINK("https://twitter.com/El_Cid_Vive/status/1070107473095352321","1070107473095352321")</f>
        <v>1070107473095352321</v>
      </c>
      <c r="F2038" s="15" t="s">
        <v>6964</v>
      </c>
      <c r="G2038" s="11"/>
      <c r="H2038" s="11"/>
      <c r="I2038" s="12">
        <v>0</v>
      </c>
      <c r="J2038" s="12">
        <v>0</v>
      </c>
      <c r="K2038" s="13" t="str">
        <f>HYPERLINK("http://twitter.com/download/iphone","Twitter for iPhone")</f>
        <v>Twitter for iPhone</v>
      </c>
      <c r="L2038" s="12">
        <v>134</v>
      </c>
      <c r="M2038" s="12">
        <v>152</v>
      </c>
      <c r="N2038" s="12">
        <v>2</v>
      </c>
      <c r="O2038" s="14"/>
      <c r="P2038" s="6">
        <v>42012.027349537035</v>
      </c>
      <c r="Q2038" s="15" t="s">
        <v>3249</v>
      </c>
      <c r="R2038" s="17" t="s">
        <v>3251</v>
      </c>
      <c r="S2038" s="11"/>
      <c r="T2038" s="11"/>
      <c r="U2038" s="10" t="str">
        <f>HYPERLINK("https://pbs.twimg.com/profile_images/553161905561681920/k3k0IcCC.jpeg","View")</f>
        <v>View</v>
      </c>
    </row>
    <row r="2039" spans="1:21" ht="40.799999999999997">
      <c r="A2039" s="6">
        <v>43439.044675925921</v>
      </c>
      <c r="B2039" s="7" t="str">
        <f>HYPERLINK("https://twitter.com/Vox_Sarria","@Vox_Sarria")</f>
        <v>@Vox_Sarria</v>
      </c>
      <c r="C2039" s="8" t="s">
        <v>6965</v>
      </c>
      <c r="D2039" s="9" t="s">
        <v>6966</v>
      </c>
      <c r="E2039" s="10" t="str">
        <f>HYPERLINK("https://twitter.com/Vox_Sarria/status/1070106563334029313","1070106563334029313")</f>
        <v>1070106563334029313</v>
      </c>
      <c r="F2039" s="11"/>
      <c r="G2039" s="16" t="s">
        <v>6967</v>
      </c>
      <c r="H2039" s="11"/>
      <c r="I2039" s="12">
        <v>1</v>
      </c>
      <c r="J2039" s="12">
        <v>1</v>
      </c>
      <c r="K2039" s="13" t="str">
        <f t="shared" ref="K2039:K2040" si="462">HYPERLINK("http://twitter.com/download/android","Twitter for Android")</f>
        <v>Twitter for Android</v>
      </c>
      <c r="L2039" s="12">
        <v>152</v>
      </c>
      <c r="M2039" s="12">
        <v>164</v>
      </c>
      <c r="N2039" s="12">
        <v>0</v>
      </c>
      <c r="O2039" s="14"/>
      <c r="P2039" s="6">
        <v>43315.620578703703</v>
      </c>
      <c r="Q2039" s="11"/>
      <c r="R2039" s="17" t="s">
        <v>6968</v>
      </c>
      <c r="S2039" s="16" t="s">
        <v>2218</v>
      </c>
      <c r="T2039" s="11"/>
      <c r="U2039" s="10" t="str">
        <f>HYPERLINK("https://pbs.twimg.com/profile_images/1059532515185250305/Y3cclAYT.jpg","View")</f>
        <v>View</v>
      </c>
    </row>
    <row r="2040" spans="1:21" ht="51">
      <c r="A2040" s="6">
        <v>43439.043622685189</v>
      </c>
      <c r="B2040" s="7" t="str">
        <f>HYPERLINK("https://twitter.com/ElDandySurenio","@ElDandySurenio")</f>
        <v>@ElDandySurenio</v>
      </c>
      <c r="C2040" s="8" t="s">
        <v>6969</v>
      </c>
      <c r="D2040" s="9" t="s">
        <v>6970</v>
      </c>
      <c r="E2040" s="10" t="str">
        <f>HYPERLINK("https://twitter.com/ElDandySurenio/status/1070106178439561216","1070106178439561216")</f>
        <v>1070106178439561216</v>
      </c>
      <c r="F2040" s="11"/>
      <c r="G2040" s="11"/>
      <c r="H2040" s="11"/>
      <c r="I2040" s="12">
        <v>1</v>
      </c>
      <c r="J2040" s="12">
        <v>1</v>
      </c>
      <c r="K2040" s="13" t="str">
        <f t="shared" si="462"/>
        <v>Twitter for Android</v>
      </c>
      <c r="L2040" s="12">
        <v>254</v>
      </c>
      <c r="M2040" s="12">
        <v>265</v>
      </c>
      <c r="N2040" s="12">
        <v>7</v>
      </c>
      <c r="O2040" s="14"/>
      <c r="P2040" s="6">
        <v>40574.795949074076</v>
      </c>
      <c r="Q2040" s="15" t="s">
        <v>197</v>
      </c>
      <c r="R2040" s="17" t="s">
        <v>6971</v>
      </c>
      <c r="S2040" s="11"/>
      <c r="T2040" s="11"/>
      <c r="U2040" s="10" t="str">
        <f>HYPERLINK("https://pbs.twimg.com/profile_images/570400584051924992/R69grV5b.jpeg","View")</f>
        <v>View</v>
      </c>
    </row>
    <row r="2041" spans="1:21" ht="51">
      <c r="A2041" s="6">
        <v>43439.04305555555</v>
      </c>
      <c r="B2041" s="7" t="str">
        <f t="shared" ref="B2041:B2042" si="463">HYPERLINK("https://twitter.com/bitMomentum","@bitMomentum")</f>
        <v>@bitMomentum</v>
      </c>
      <c r="C2041" s="8" t="s">
        <v>82</v>
      </c>
      <c r="D2041" s="9" t="s">
        <v>6972</v>
      </c>
      <c r="E2041" s="10" t="str">
        <f>HYPERLINK("https://twitter.com/bitMomentum/status/1070105972960620544","1070105972960620544")</f>
        <v>1070105972960620544</v>
      </c>
      <c r="F2041" s="11"/>
      <c r="G2041" s="11"/>
      <c r="H2041" s="11"/>
      <c r="I2041" s="12">
        <v>0</v>
      </c>
      <c r="J2041" s="12">
        <v>0</v>
      </c>
      <c r="K2041" s="13" t="str">
        <f t="shared" ref="K2041:K2042" si="464">HYPERLINK("http://www.bitmomentum.com","bitMomentum Bot")</f>
        <v>bitMomentum Bot</v>
      </c>
      <c r="L2041" s="12">
        <v>10253</v>
      </c>
      <c r="M2041" s="12">
        <v>1059</v>
      </c>
      <c r="N2041" s="12">
        <v>263</v>
      </c>
      <c r="O2041" s="14"/>
      <c r="P2041" s="6">
        <v>41608.667511574073</v>
      </c>
      <c r="Q2041" s="11"/>
      <c r="R2041" s="17" t="s">
        <v>84</v>
      </c>
      <c r="S2041" s="16" t="s">
        <v>85</v>
      </c>
      <c r="T2041" s="11"/>
      <c r="U2041" s="10" t="str">
        <f t="shared" ref="U2041:U2042" si="465">HYPERLINK("https://pbs.twimg.com/profile_images/378800000862185241/20ij2H3u.png","View")</f>
        <v>View</v>
      </c>
    </row>
    <row r="2042" spans="1:21" ht="51">
      <c r="A2042" s="6">
        <v>43439.042361111111</v>
      </c>
      <c r="B2042" s="7" t="str">
        <f t="shared" si="463"/>
        <v>@bitMomentum</v>
      </c>
      <c r="C2042" s="8" t="s">
        <v>82</v>
      </c>
      <c r="D2042" s="9" t="s">
        <v>6973</v>
      </c>
      <c r="E2042" s="10" t="str">
        <f>HYPERLINK("https://twitter.com/bitMomentum/status/1070105721252036608","1070105721252036608")</f>
        <v>1070105721252036608</v>
      </c>
      <c r="F2042" s="11"/>
      <c r="G2042" s="11"/>
      <c r="H2042" s="11"/>
      <c r="I2042" s="12">
        <v>0</v>
      </c>
      <c r="J2042" s="12">
        <v>0</v>
      </c>
      <c r="K2042" s="13" t="str">
        <f t="shared" si="464"/>
        <v>bitMomentum Bot</v>
      </c>
      <c r="L2042" s="12">
        <v>10253</v>
      </c>
      <c r="M2042" s="12">
        <v>1059</v>
      </c>
      <c r="N2042" s="12">
        <v>263</v>
      </c>
      <c r="O2042" s="14"/>
      <c r="P2042" s="6">
        <v>41608.667511574073</v>
      </c>
      <c r="Q2042" s="11"/>
      <c r="R2042" s="17" t="s">
        <v>84</v>
      </c>
      <c r="S2042" s="16" t="s">
        <v>85</v>
      </c>
      <c r="T2042" s="11"/>
      <c r="U2042" s="10" t="str">
        <f t="shared" si="465"/>
        <v>View</v>
      </c>
    </row>
    <row r="2043" spans="1:21" ht="40.799999999999997">
      <c r="A2043" s="6">
        <v>43439.041354166664</v>
      </c>
      <c r="B2043" s="7" t="str">
        <f>HYPERLINK("https://twitter.com/marrullero","@marrullero")</f>
        <v>@marrullero</v>
      </c>
      <c r="C2043" s="8" t="s">
        <v>6974</v>
      </c>
      <c r="D2043" s="9" t="s">
        <v>6975</v>
      </c>
      <c r="E2043" s="10" t="str">
        <f>HYPERLINK("https://twitter.com/marrullero/status/1070105357832343553","1070105357832343553")</f>
        <v>1070105357832343553</v>
      </c>
      <c r="F2043" s="11"/>
      <c r="G2043" s="11"/>
      <c r="H2043" s="11"/>
      <c r="I2043" s="12">
        <v>0</v>
      </c>
      <c r="J2043" s="12">
        <v>0</v>
      </c>
      <c r="K2043" s="13" t="str">
        <f t="shared" ref="K2043:K2045" si="466">HYPERLINK("http://twitter.com/download/android","Twitter for Android")</f>
        <v>Twitter for Android</v>
      </c>
      <c r="L2043" s="12">
        <v>372</v>
      </c>
      <c r="M2043" s="12">
        <v>1070</v>
      </c>
      <c r="N2043" s="12">
        <v>15</v>
      </c>
      <c r="O2043" s="14"/>
      <c r="P2043" s="6">
        <v>39577.503599537034</v>
      </c>
      <c r="Q2043" s="15" t="s">
        <v>6976</v>
      </c>
      <c r="R2043" s="17" t="s">
        <v>6977</v>
      </c>
      <c r="S2043" s="16" t="s">
        <v>6978</v>
      </c>
      <c r="T2043" s="11"/>
      <c r="U2043" s="10" t="str">
        <f>HYPERLINK("https://pbs.twimg.com/profile_images/378800000637139404/0c18e647ce87c1dfbccd745ec311b819.jpeg","View")</f>
        <v>View</v>
      </c>
    </row>
    <row r="2044" spans="1:21" ht="30.6">
      <c r="A2044" s="6">
        <v>43439.039548611108</v>
      </c>
      <c r="B2044" s="7" t="str">
        <f>HYPERLINK("https://twitter.com/Santi_ABASCAL","@Santi_ABASCAL")</f>
        <v>@Santi_ABASCAL</v>
      </c>
      <c r="C2044" s="8" t="s">
        <v>422</v>
      </c>
      <c r="D2044" s="9" t="s">
        <v>6979</v>
      </c>
      <c r="E2044" s="10" t="str">
        <f>HYPERLINK("https://twitter.com/Santi_ABASCAL/status/1070104701453197318","1070104701453197318")</f>
        <v>1070104701453197318</v>
      </c>
      <c r="F2044" s="15" t="s">
        <v>6980</v>
      </c>
      <c r="G2044" s="11"/>
      <c r="H2044" s="11"/>
      <c r="I2044" s="12">
        <v>2607</v>
      </c>
      <c r="J2044" s="12">
        <v>5768</v>
      </c>
      <c r="K2044" s="13" t="str">
        <f t="shared" si="466"/>
        <v>Twitter for Android</v>
      </c>
      <c r="L2044" s="12">
        <v>136309</v>
      </c>
      <c r="M2044" s="12">
        <v>3909</v>
      </c>
      <c r="N2044" s="12">
        <v>965</v>
      </c>
      <c r="O2044" s="23" t="s">
        <v>89</v>
      </c>
      <c r="P2044" s="6">
        <v>40606.716446759259</v>
      </c>
      <c r="Q2044" s="15" t="s">
        <v>426</v>
      </c>
      <c r="R2044" s="17" t="s">
        <v>427</v>
      </c>
      <c r="S2044" s="16" t="s">
        <v>428</v>
      </c>
      <c r="T2044" s="11"/>
      <c r="U2044" s="10" t="str">
        <f>HYPERLINK("https://pbs.twimg.com/profile_images/1010488787686879232/2CnqYKlD.jpg","View")</f>
        <v>View</v>
      </c>
    </row>
    <row r="2045" spans="1:21" ht="51">
      <c r="A2045" s="6">
        <v>43439.037812499999</v>
      </c>
      <c r="B2045" s="7" t="str">
        <f>HYPERLINK("https://twitter.com/ivandm_79","@ivandm_79")</f>
        <v>@ivandm_79</v>
      </c>
      <c r="C2045" s="8" t="s">
        <v>6981</v>
      </c>
      <c r="D2045" s="9" t="s">
        <v>6982</v>
      </c>
      <c r="E2045" s="10" t="str">
        <f>HYPERLINK("https://twitter.com/ivandm_79/status/1070104075583307777","1070104075583307777")</f>
        <v>1070104075583307777</v>
      </c>
      <c r="F2045" s="16" t="s">
        <v>6983</v>
      </c>
      <c r="G2045" s="11"/>
      <c r="H2045" s="11"/>
      <c r="I2045" s="12">
        <v>1</v>
      </c>
      <c r="J2045" s="12">
        <v>0</v>
      </c>
      <c r="K2045" s="13" t="str">
        <f t="shared" si="466"/>
        <v>Twitter for Android</v>
      </c>
      <c r="L2045" s="12">
        <v>356</v>
      </c>
      <c r="M2045" s="12">
        <v>1977</v>
      </c>
      <c r="N2045" s="12">
        <v>8</v>
      </c>
      <c r="O2045" s="14"/>
      <c r="P2045" s="6">
        <v>40940.085185185184</v>
      </c>
      <c r="Q2045" s="15" t="s">
        <v>6984</v>
      </c>
      <c r="R2045" s="17" t="s">
        <v>6985</v>
      </c>
      <c r="S2045" s="11"/>
      <c r="T2045" s="11"/>
      <c r="U2045" s="10" t="str">
        <f>HYPERLINK("https://pbs.twimg.com/profile_images/764514415668502528/0PKR6kAm.jpg","View")</f>
        <v>View</v>
      </c>
    </row>
    <row r="2046" spans="1:21" ht="61.2">
      <c r="A2046" s="6">
        <v>43439.029537037037</v>
      </c>
      <c r="B2046" s="7" t="str">
        <f>HYPERLINK("https://twitter.com/GuerraReportero","@GuerraReportero")</f>
        <v>@GuerraReportero</v>
      </c>
      <c r="C2046" s="8" t="s">
        <v>6986</v>
      </c>
      <c r="D2046" s="9" t="s">
        <v>6987</v>
      </c>
      <c r="E2046" s="10" t="str">
        <f>HYPERLINK("https://twitter.com/GuerraReportero/status/1070101075645095936","1070101075645095936")</f>
        <v>1070101075645095936</v>
      </c>
      <c r="F2046" s="16" t="s">
        <v>6988</v>
      </c>
      <c r="G2046" s="16" t="s">
        <v>6967</v>
      </c>
      <c r="H2046" s="11"/>
      <c r="I2046" s="12">
        <v>0</v>
      </c>
      <c r="J2046" s="12">
        <v>0</v>
      </c>
      <c r="K2046" s="13" t="str">
        <f>HYPERLINK("http://twitter.com/download/iphone","Twitter for iPhone")</f>
        <v>Twitter for iPhone</v>
      </c>
      <c r="L2046" s="12">
        <v>5</v>
      </c>
      <c r="M2046" s="12">
        <v>36</v>
      </c>
      <c r="N2046" s="12">
        <v>0</v>
      </c>
      <c r="O2046" s="14"/>
      <c r="P2046" s="6">
        <v>43438.481793981482</v>
      </c>
      <c r="Q2046" s="15" t="s">
        <v>6989</v>
      </c>
      <c r="R2046" s="17" t="s">
        <v>6990</v>
      </c>
      <c r="S2046" s="16" t="s">
        <v>6991</v>
      </c>
      <c r="T2046" s="11"/>
      <c r="U2046" s="10" t="str">
        <f>HYPERLINK("https://pbs.twimg.com/profile_images/1069914986233905152/JspThUPI.jpg","View")</f>
        <v>View</v>
      </c>
    </row>
    <row r="2047" spans="1:21" ht="30.6">
      <c r="A2047" s="6">
        <v>43439.029398148152</v>
      </c>
      <c r="B2047" s="7" t="str">
        <f>HYPERLINK("https://twitter.com/IgnManzanares","@IgnManzanares")</f>
        <v>@IgnManzanares</v>
      </c>
      <c r="C2047" s="8" t="s">
        <v>2077</v>
      </c>
      <c r="D2047" s="9" t="s">
        <v>6992</v>
      </c>
      <c r="E2047" s="10" t="str">
        <f>HYPERLINK("https://twitter.com/IgnManzanares/status/1070101025745526789","1070101025745526789")</f>
        <v>1070101025745526789</v>
      </c>
      <c r="F2047" s="16" t="s">
        <v>6993</v>
      </c>
      <c r="G2047" s="11"/>
      <c r="H2047" s="11"/>
      <c r="I2047" s="12">
        <v>0</v>
      </c>
      <c r="J2047" s="12">
        <v>0</v>
      </c>
      <c r="K2047" s="13" t="str">
        <f t="shared" ref="K2047:K2049" si="467">HYPERLINK("http://twitter.com/download/android","Twitter for Android")</f>
        <v>Twitter for Android</v>
      </c>
      <c r="L2047" s="12">
        <v>114</v>
      </c>
      <c r="M2047" s="12">
        <v>439</v>
      </c>
      <c r="N2047" s="12">
        <v>0</v>
      </c>
      <c r="O2047" s="14"/>
      <c r="P2047" s="6">
        <v>41369.634189814817</v>
      </c>
      <c r="Q2047" s="15" t="s">
        <v>2080</v>
      </c>
      <c r="R2047" s="17" t="s">
        <v>2081</v>
      </c>
      <c r="S2047" s="11"/>
      <c r="T2047" s="11"/>
      <c r="U2047" s="10" t="str">
        <f>HYPERLINK("https://pbs.twimg.com/profile_images/1025713053919260672/WCeu-kOZ.jpg","View")</f>
        <v>View</v>
      </c>
    </row>
    <row r="2048" spans="1:21" ht="40.799999999999997">
      <c r="A2048" s="6">
        <v>43439.025335648148</v>
      </c>
      <c r="B2048" s="7" t="str">
        <f>HYPERLINK("https://twitter.com/vox_es","@vox_es")</f>
        <v>@vox_es</v>
      </c>
      <c r="C2048" s="8" t="s">
        <v>3230</v>
      </c>
      <c r="D2048" s="9" t="s">
        <v>6966</v>
      </c>
      <c r="E2048" s="10" t="str">
        <f>HYPERLINK("https://twitter.com/vox_es/status/1070099552861085696","1070099552861085696")</f>
        <v>1070099552861085696</v>
      </c>
      <c r="F2048" s="11"/>
      <c r="G2048" s="16" t="s">
        <v>6967</v>
      </c>
      <c r="H2048" s="11"/>
      <c r="I2048" s="12">
        <v>580</v>
      </c>
      <c r="J2048" s="12">
        <v>1081</v>
      </c>
      <c r="K2048" s="13" t="str">
        <f t="shared" si="467"/>
        <v>Twitter for Android</v>
      </c>
      <c r="L2048" s="12">
        <v>147920</v>
      </c>
      <c r="M2048" s="12">
        <v>937</v>
      </c>
      <c r="N2048" s="12">
        <v>988</v>
      </c>
      <c r="O2048" s="23" t="s">
        <v>89</v>
      </c>
      <c r="P2048" s="6">
        <v>41596.746655092589</v>
      </c>
      <c r="Q2048" s="11"/>
      <c r="R2048" s="17" t="s">
        <v>3232</v>
      </c>
      <c r="S2048" s="16" t="s">
        <v>1740</v>
      </c>
      <c r="T2048" s="11"/>
      <c r="U2048" s="10" t="str">
        <f>HYPERLINK("https://pbs.twimg.com/profile_images/1016653788617363456/m3b3jqW5.jpg","View")</f>
        <v>View</v>
      </c>
    </row>
    <row r="2049" spans="1:21" ht="71.400000000000006">
      <c r="A2049" s="6">
        <v>43439.024224537032</v>
      </c>
      <c r="B2049" s="7" t="str">
        <f>HYPERLINK("https://twitter.com/tercionacesp","@tercionacesp")</f>
        <v>@tercionacesp</v>
      </c>
      <c r="C2049" s="8" t="s">
        <v>6994</v>
      </c>
      <c r="D2049" s="9" t="s">
        <v>6995</v>
      </c>
      <c r="E2049" s="10" t="str">
        <f>HYPERLINK("https://twitter.com/tercionacesp/status/1070099149750722565","1070099149750722565")</f>
        <v>1070099149750722565</v>
      </c>
      <c r="F2049" s="15" t="s">
        <v>6996</v>
      </c>
      <c r="G2049" s="16" t="s">
        <v>6997</v>
      </c>
      <c r="H2049" s="11"/>
      <c r="I2049" s="12">
        <v>0</v>
      </c>
      <c r="J2049" s="12">
        <v>0</v>
      </c>
      <c r="K2049" s="13" t="str">
        <f t="shared" si="467"/>
        <v>Twitter for Android</v>
      </c>
      <c r="L2049" s="12">
        <v>1538</v>
      </c>
      <c r="M2049" s="12">
        <v>2472</v>
      </c>
      <c r="N2049" s="12">
        <v>2</v>
      </c>
      <c r="O2049" s="14"/>
      <c r="P2049" s="6">
        <v>43209.849340277782</v>
      </c>
      <c r="Q2049" s="15" t="s">
        <v>2875</v>
      </c>
      <c r="R2049" s="17" t="s">
        <v>6998</v>
      </c>
      <c r="S2049" s="11"/>
      <c r="T2049" s="11"/>
      <c r="U2049" s="10" t="str">
        <f>HYPERLINK("https://pbs.twimg.com/profile_images/987044091677593601/bsh5m-KH.jpg","View")</f>
        <v>View</v>
      </c>
    </row>
    <row r="2050" spans="1:21" ht="71.400000000000006">
      <c r="A2050" s="6">
        <v>43439.022372685184</v>
      </c>
      <c r="B2050" s="7" t="str">
        <f>HYPERLINK("https://twitter.com/jmguzmanocon","@jmguzmanocon")</f>
        <v>@jmguzmanocon</v>
      </c>
      <c r="C2050" s="8" t="s">
        <v>121</v>
      </c>
      <c r="D2050" s="9" t="s">
        <v>6999</v>
      </c>
      <c r="E2050" s="10" t="str">
        <f>HYPERLINK("https://twitter.com/jmguzmanocon/status/1070098478049705984","1070098478049705984")</f>
        <v>1070098478049705984</v>
      </c>
      <c r="F2050" s="16" t="s">
        <v>7000</v>
      </c>
      <c r="G2050" s="11"/>
      <c r="H2050" s="11"/>
      <c r="I2050" s="12">
        <v>0</v>
      </c>
      <c r="J2050" s="12">
        <v>0</v>
      </c>
      <c r="K2050" s="13" t="str">
        <f t="shared" ref="K2050:K2052" si="468">HYPERLINK("http://twitter.com","Twitter Web Client")</f>
        <v>Twitter Web Client</v>
      </c>
      <c r="L2050" s="12">
        <v>47</v>
      </c>
      <c r="M2050" s="12">
        <v>418</v>
      </c>
      <c r="N2050" s="12">
        <v>0</v>
      </c>
      <c r="O2050" s="14"/>
      <c r="P2050" s="6">
        <v>40881.688437500001</v>
      </c>
      <c r="Q2050" s="11"/>
      <c r="R2050" s="18"/>
      <c r="S2050" s="11"/>
      <c r="T2050" s="11"/>
      <c r="U2050" s="10" t="str">
        <f>HYPERLINK("https://pbs.twimg.com/profile_images/2573244350/40rcwQjo","View")</f>
        <v>View</v>
      </c>
    </row>
    <row r="2051" spans="1:21" ht="61.2">
      <c r="A2051" s="6">
        <v>43439.020474537036</v>
      </c>
      <c r="B2051" s="7" t="str">
        <f>HYPERLINK("https://twitter.com/ElAngelFacha","@ElAngelFacha")</f>
        <v>@ElAngelFacha</v>
      </c>
      <c r="C2051" s="8" t="s">
        <v>246</v>
      </c>
      <c r="D2051" s="9" t="s">
        <v>7001</v>
      </c>
      <c r="E2051" s="10" t="str">
        <f>HYPERLINK("https://twitter.com/ElAngelFacha/status/1070097789105901568","1070097789105901568")</f>
        <v>1070097789105901568</v>
      </c>
      <c r="F2051" s="15" t="s">
        <v>7002</v>
      </c>
      <c r="G2051" s="11"/>
      <c r="H2051" s="11"/>
      <c r="I2051" s="12">
        <v>28</v>
      </c>
      <c r="J2051" s="12">
        <v>32</v>
      </c>
      <c r="K2051" s="13" t="str">
        <f t="shared" si="468"/>
        <v>Twitter Web Client</v>
      </c>
      <c r="L2051" s="12">
        <v>1472</v>
      </c>
      <c r="M2051" s="12">
        <v>2060</v>
      </c>
      <c r="N2051" s="12">
        <v>4</v>
      </c>
      <c r="O2051" s="14"/>
      <c r="P2051" s="6">
        <v>42923.928784722222</v>
      </c>
      <c r="Q2051" s="15" t="s">
        <v>249</v>
      </c>
      <c r="R2051" s="17" t="s">
        <v>250</v>
      </c>
      <c r="S2051" s="11"/>
      <c r="T2051" s="11"/>
      <c r="U2051" s="10" t="str">
        <f>HYPERLINK("https://pbs.twimg.com/profile_images/1068670609935208450/c84QvuV4.jpg","View")</f>
        <v>View</v>
      </c>
    </row>
    <row r="2052" spans="1:21" ht="51">
      <c r="A2052" s="6">
        <v>43439.020069444443</v>
      </c>
      <c r="B2052" s="7" t="str">
        <f>HYPERLINK("https://twitter.com/EnasEllin","@EnasEllin")</f>
        <v>@EnasEllin</v>
      </c>
      <c r="C2052" s="8" t="s">
        <v>7003</v>
      </c>
      <c r="D2052" s="9" t="s">
        <v>7004</v>
      </c>
      <c r="E2052" s="10" t="str">
        <f>HYPERLINK("https://twitter.com/EnasEllin/status/1070097644003971073","1070097644003971073")</f>
        <v>1070097644003971073</v>
      </c>
      <c r="F2052" s="16" t="s">
        <v>7005</v>
      </c>
      <c r="G2052" s="11"/>
      <c r="H2052" s="11"/>
      <c r="I2052" s="12">
        <v>0</v>
      </c>
      <c r="J2052" s="12">
        <v>0</v>
      </c>
      <c r="K2052" s="13" t="str">
        <f t="shared" si="468"/>
        <v>Twitter Web Client</v>
      </c>
      <c r="L2052" s="12">
        <v>396</v>
      </c>
      <c r="M2052" s="12">
        <v>87</v>
      </c>
      <c r="N2052" s="12">
        <v>1</v>
      </c>
      <c r="O2052" s="14"/>
      <c r="P2052" s="6">
        <v>40812.180405092593</v>
      </c>
      <c r="Q2052" s="15" t="s">
        <v>986</v>
      </c>
      <c r="R2052" s="17" t="s">
        <v>7006</v>
      </c>
      <c r="S2052" s="16" t="s">
        <v>7007</v>
      </c>
      <c r="T2052" s="11"/>
      <c r="U2052" s="10" t="str">
        <f>HYPERLINK("https://pbs.twimg.com/profile_images/949485290313469952/mznNGhPz.jpg","View")</f>
        <v>View</v>
      </c>
    </row>
    <row r="2053" spans="1:21" ht="51">
      <c r="A2053" s="6">
        <v>43439.01771990741</v>
      </c>
      <c r="B2053" s="7" t="str">
        <f>HYPERLINK("https://twitter.com/GallegoCesar","@GallegoCesar")</f>
        <v>@GallegoCesar</v>
      </c>
      <c r="C2053" s="8" t="s">
        <v>7008</v>
      </c>
      <c r="D2053" s="9" t="s">
        <v>7009</v>
      </c>
      <c r="E2053" s="10" t="str">
        <f>HYPERLINK("https://twitter.com/GallegoCesar/status/1070096791570472961","1070096791570472961")</f>
        <v>1070096791570472961</v>
      </c>
      <c r="F2053" s="11"/>
      <c r="G2053" s="11"/>
      <c r="H2053" s="11"/>
      <c r="I2053" s="12">
        <v>0</v>
      </c>
      <c r="J2053" s="12">
        <v>0</v>
      </c>
      <c r="K2053" s="13" t="str">
        <f>HYPERLINK("http://twitter.com/download/iphone","Twitter for iPhone")</f>
        <v>Twitter for iPhone</v>
      </c>
      <c r="L2053" s="12">
        <v>266</v>
      </c>
      <c r="M2053" s="12">
        <v>390</v>
      </c>
      <c r="N2053" s="12">
        <v>13</v>
      </c>
      <c r="O2053" s="14"/>
      <c r="P2053" s="6">
        <v>41091.560370370367</v>
      </c>
      <c r="Q2053" s="11"/>
      <c r="R2053" s="18"/>
      <c r="S2053" s="11"/>
      <c r="T2053" s="11"/>
      <c r="U2053" s="10" t="str">
        <f>HYPERLINK("https://pbs.twimg.com/profile_images/923621902685495296/EnDgMb6o.jpg","View")</f>
        <v>View</v>
      </c>
    </row>
    <row r="2054" spans="1:21" ht="71.400000000000006">
      <c r="A2054" s="6">
        <v>43439.017060185186</v>
      </c>
      <c r="B2054" s="7" t="str">
        <f>HYPERLINK("https://twitter.com/Gamusinoss","@Gamusinoss")</f>
        <v>@Gamusinoss</v>
      </c>
      <c r="C2054" s="8" t="s">
        <v>2645</v>
      </c>
      <c r="D2054" s="9" t="s">
        <v>7010</v>
      </c>
      <c r="E2054" s="10" t="str">
        <f>HYPERLINK("https://twitter.com/Gamusinoss/status/1070096552297971712","1070096552297971712")</f>
        <v>1070096552297971712</v>
      </c>
      <c r="F2054" s="15" t="s">
        <v>7011</v>
      </c>
      <c r="G2054" s="11"/>
      <c r="H2054" s="11"/>
      <c r="I2054" s="12">
        <v>0</v>
      </c>
      <c r="J2054" s="12">
        <v>0</v>
      </c>
      <c r="K2054" s="13" t="str">
        <f>HYPERLINK("https://mobile.twitter.com","Twitter Lite")</f>
        <v>Twitter Lite</v>
      </c>
      <c r="L2054" s="12">
        <v>663</v>
      </c>
      <c r="M2054" s="12">
        <v>719</v>
      </c>
      <c r="N2054" s="12">
        <v>5</v>
      </c>
      <c r="O2054" s="14"/>
      <c r="P2054" s="6">
        <v>40058.892662037033</v>
      </c>
      <c r="Q2054" s="15" t="s">
        <v>2649</v>
      </c>
      <c r="R2054" s="17" t="s">
        <v>2650</v>
      </c>
      <c r="S2054" s="11"/>
      <c r="T2054" s="11"/>
      <c r="U2054" s="10" t="str">
        <f>HYPERLINK("https://pbs.twimg.com/profile_images/1027152344306331650/Yj023Jhk.jpg","View")</f>
        <v>View</v>
      </c>
    </row>
    <row r="2055" spans="1:21" ht="81.599999999999994">
      <c r="A2055" s="6">
        <v>43439.014548611114</v>
      </c>
      <c r="B2055" s="7" t="str">
        <f>HYPERLINK("https://twitter.com/El_Cid_volador","@El_Cid_volador")</f>
        <v>@El_Cid_volador</v>
      </c>
      <c r="C2055" s="8" t="s">
        <v>7012</v>
      </c>
      <c r="D2055" s="9" t="s">
        <v>7013</v>
      </c>
      <c r="E2055" s="10" t="str">
        <f>HYPERLINK("https://twitter.com/El_Cid_volador/status/1070095644080128000","1070095644080128000")</f>
        <v>1070095644080128000</v>
      </c>
      <c r="F2055" s="16" t="s">
        <v>7014</v>
      </c>
      <c r="G2055" s="16" t="s">
        <v>7015</v>
      </c>
      <c r="H2055" s="11"/>
      <c r="I2055" s="12">
        <v>0</v>
      </c>
      <c r="J2055" s="12">
        <v>0</v>
      </c>
      <c r="K2055" s="13" t="str">
        <f t="shared" ref="K2055:K2056" si="469">HYPERLINK("http://twitter.com","Twitter Web Client")</f>
        <v>Twitter Web Client</v>
      </c>
      <c r="L2055" s="12">
        <v>155</v>
      </c>
      <c r="M2055" s="12">
        <v>96</v>
      </c>
      <c r="N2055" s="12">
        <v>3</v>
      </c>
      <c r="O2055" s="14"/>
      <c r="P2055" s="6">
        <v>42951.408807870372</v>
      </c>
      <c r="Q2055" s="15" t="s">
        <v>7016</v>
      </c>
      <c r="R2055" s="17" t="s">
        <v>7017</v>
      </c>
      <c r="S2055" s="11"/>
      <c r="T2055" s="11"/>
      <c r="U2055" s="10" t="str">
        <f>HYPERLINK("https://pbs.twimg.com/profile_images/1012663203136987136/4vl6lREH.jpg","View")</f>
        <v>View</v>
      </c>
    </row>
    <row r="2056" spans="1:21" ht="112.2">
      <c r="A2056" s="6">
        <v>43439.013831018514</v>
      </c>
      <c r="B2056" s="7" t="str">
        <f>HYPERLINK("https://twitter.com/carmelodifazio","@carmelodifazio")</f>
        <v>@carmelodifazio</v>
      </c>
      <c r="C2056" s="8" t="s">
        <v>1172</v>
      </c>
      <c r="D2056" s="9" t="s">
        <v>7018</v>
      </c>
      <c r="E2056" s="10" t="str">
        <f>HYPERLINK("https://twitter.com/carmelodifazio/status/1070095384825995264","1070095384825995264")</f>
        <v>1070095384825995264</v>
      </c>
      <c r="F2056" s="16" t="s">
        <v>7019</v>
      </c>
      <c r="G2056" s="16" t="s">
        <v>7020</v>
      </c>
      <c r="H2056" s="11"/>
      <c r="I2056" s="12">
        <v>13</v>
      </c>
      <c r="J2056" s="12">
        <v>9</v>
      </c>
      <c r="K2056" s="13" t="str">
        <f t="shared" si="469"/>
        <v>Twitter Web Client</v>
      </c>
      <c r="L2056" s="12">
        <v>67620</v>
      </c>
      <c r="M2056" s="12">
        <v>29898</v>
      </c>
      <c r="N2056" s="12">
        <v>249</v>
      </c>
      <c r="O2056" s="14"/>
      <c r="P2056" s="6">
        <v>40525.98883101852</v>
      </c>
      <c r="Q2056" s="15" t="s">
        <v>1175</v>
      </c>
      <c r="R2056" s="17" t="s">
        <v>1176</v>
      </c>
      <c r="S2056" s="16" t="s">
        <v>1177</v>
      </c>
      <c r="T2056" s="11"/>
      <c r="U2056" s="10" t="str">
        <f>HYPERLINK("https://pbs.twimg.com/profile_images/1069385468406652930/Fe_Drk4k.jpg","View")</f>
        <v>View</v>
      </c>
    </row>
    <row r="2057" spans="1:21" ht="40.799999999999997">
      <c r="A2057" s="6">
        <v>43439.013796296298</v>
      </c>
      <c r="B2057" s="7" t="str">
        <f>HYPERLINK("https://twitter.com/elLokoOnFire","@elLokoOnFire")</f>
        <v>@elLokoOnFire</v>
      </c>
      <c r="C2057" s="8" t="s">
        <v>1223</v>
      </c>
      <c r="D2057" s="9" t="s">
        <v>7021</v>
      </c>
      <c r="E2057" s="10" t="str">
        <f>HYPERLINK("https://twitter.com/elLokoOnFire/status/1070095368900280320","1070095368900280320")</f>
        <v>1070095368900280320</v>
      </c>
      <c r="F2057" s="11"/>
      <c r="G2057" s="11"/>
      <c r="H2057" s="11"/>
      <c r="I2057" s="12">
        <v>1</v>
      </c>
      <c r="J2057" s="12">
        <v>2</v>
      </c>
      <c r="K2057" s="13" t="str">
        <f t="shared" ref="K2057:K2058" si="470">HYPERLINK("http://twitter.com/download/iphone","Twitter for iPhone")</f>
        <v>Twitter for iPhone</v>
      </c>
      <c r="L2057" s="12">
        <v>3214</v>
      </c>
      <c r="M2057" s="12">
        <v>2813</v>
      </c>
      <c r="N2057" s="12">
        <v>9</v>
      </c>
      <c r="O2057" s="14"/>
      <c r="P2057" s="6">
        <v>42794.544652777782</v>
      </c>
      <c r="Q2057" s="15" t="s">
        <v>1226</v>
      </c>
      <c r="R2057" s="17" t="s">
        <v>1227</v>
      </c>
      <c r="S2057" s="11"/>
      <c r="T2057" s="11"/>
      <c r="U2057" s="10" t="str">
        <f>HYPERLINK("https://pbs.twimg.com/profile_images/836569302023221250/KFiIuXuN.jpg","View")</f>
        <v>View</v>
      </c>
    </row>
    <row r="2058" spans="1:21" ht="112.2">
      <c r="A2058" s="6">
        <v>43439.012858796297</v>
      </c>
      <c r="B2058" s="7" t="str">
        <f>HYPERLINK("https://twitter.com/jl_amaro","@jl_amaro")</f>
        <v>@jl_amaro</v>
      </c>
      <c r="C2058" s="8" t="s">
        <v>7022</v>
      </c>
      <c r="D2058" s="9" t="s">
        <v>7023</v>
      </c>
      <c r="E2058" s="10" t="str">
        <f>HYPERLINK("https://twitter.com/jl_amaro/status/1070095029421658113","1070095029421658113")</f>
        <v>1070095029421658113</v>
      </c>
      <c r="F2058" s="16" t="s">
        <v>7024</v>
      </c>
      <c r="G2058" s="16" t="s">
        <v>7025</v>
      </c>
      <c r="H2058" s="11"/>
      <c r="I2058" s="12">
        <v>0</v>
      </c>
      <c r="J2058" s="12">
        <v>0</v>
      </c>
      <c r="K2058" s="13" t="str">
        <f t="shared" si="470"/>
        <v>Twitter for iPhone</v>
      </c>
      <c r="L2058" s="12">
        <v>204</v>
      </c>
      <c r="M2058" s="12">
        <v>457</v>
      </c>
      <c r="N2058" s="12">
        <v>4</v>
      </c>
      <c r="O2058" s="14"/>
      <c r="P2058" s="6">
        <v>40314.983773148146</v>
      </c>
      <c r="Q2058" s="11"/>
      <c r="R2058" s="18"/>
      <c r="S2058" s="11"/>
      <c r="T2058" s="11"/>
      <c r="U2058" s="10" t="str">
        <f>HYPERLINK("https://pbs.twimg.com/profile_images/2166115158/068yOFpq","View")</f>
        <v>View</v>
      </c>
    </row>
    <row r="2059" spans="1:21" ht="112.2">
      <c r="A2059" s="6">
        <v>43439.012083333335</v>
      </c>
      <c r="B2059" s="7" t="str">
        <f>HYPERLINK("https://twitter.com/NoAlExpolio","@NoAlExpolio")</f>
        <v>@NoAlExpolio</v>
      </c>
      <c r="C2059" s="8" t="s">
        <v>2242</v>
      </c>
      <c r="D2059" s="9" t="s">
        <v>7026</v>
      </c>
      <c r="E2059" s="10" t="str">
        <f>HYPERLINK("https://twitter.com/NoAlExpolio/status/1070094750383042561","1070094750383042561")</f>
        <v>1070094750383042561</v>
      </c>
      <c r="F2059" s="16" t="s">
        <v>7027</v>
      </c>
      <c r="G2059" s="16" t="s">
        <v>7028</v>
      </c>
      <c r="H2059" s="11"/>
      <c r="I2059" s="12">
        <v>0</v>
      </c>
      <c r="J2059" s="12">
        <v>0</v>
      </c>
      <c r="K2059" s="13" t="str">
        <f>HYPERLINK("https://mobile.twitter.com","Twitter Lite")</f>
        <v>Twitter Lite</v>
      </c>
      <c r="L2059" s="12">
        <v>365</v>
      </c>
      <c r="M2059" s="12">
        <v>504</v>
      </c>
      <c r="N2059" s="12">
        <v>2</v>
      </c>
      <c r="O2059" s="14"/>
      <c r="P2059" s="6">
        <v>42941.022824074069</v>
      </c>
      <c r="Q2059" s="11"/>
      <c r="R2059" s="17" t="s">
        <v>2244</v>
      </c>
      <c r="S2059" s="11"/>
      <c r="T2059" s="11"/>
      <c r="U2059" s="10" t="str">
        <f>HYPERLINK("https://pbs.twimg.com/profile_images/998018196962623488/o0byUEEw.jpg","View")</f>
        <v>View</v>
      </c>
    </row>
    <row r="2060" spans="1:21" ht="51">
      <c r="A2060" s="6">
        <v>43439.011053240742</v>
      </c>
      <c r="B2060" s="7" t="str">
        <f>HYPERLINK("https://twitter.com/JoseOP2","@JoseOP2")</f>
        <v>@JoseOP2</v>
      </c>
      <c r="C2060" s="8" t="s">
        <v>7029</v>
      </c>
      <c r="D2060" s="9" t="s">
        <v>7030</v>
      </c>
      <c r="E2060" s="10" t="str">
        <f>HYPERLINK("https://twitter.com/JoseOP2/status/1070094375613554690","1070094375613554690")</f>
        <v>1070094375613554690</v>
      </c>
      <c r="F2060" s="11"/>
      <c r="G2060" s="16" t="s">
        <v>7031</v>
      </c>
      <c r="H2060" s="11"/>
      <c r="I2060" s="12">
        <v>0</v>
      </c>
      <c r="J2060" s="12">
        <v>3</v>
      </c>
      <c r="K2060" s="13" t="str">
        <f t="shared" ref="K2060:K2063" si="471">HYPERLINK("http://twitter.com/download/android","Twitter for Android")</f>
        <v>Twitter for Android</v>
      </c>
      <c r="L2060" s="12">
        <v>752</v>
      </c>
      <c r="M2060" s="12">
        <v>560</v>
      </c>
      <c r="N2060" s="12">
        <v>2</v>
      </c>
      <c r="O2060" s="14"/>
      <c r="P2060" s="6">
        <v>41365.729803240742</v>
      </c>
      <c r="Q2060" s="15" t="s">
        <v>1440</v>
      </c>
      <c r="R2060" s="17" t="s">
        <v>7032</v>
      </c>
      <c r="S2060" s="11"/>
      <c r="T2060" s="11"/>
      <c r="U2060" s="10" t="str">
        <f>HYPERLINK("https://pbs.twimg.com/profile_images/1060475846929063937/QINm8jQC.jpg","View")</f>
        <v>View</v>
      </c>
    </row>
    <row r="2061" spans="1:21" ht="40.799999999999997">
      <c r="A2061" s="6">
        <v>43439.009965277779</v>
      </c>
      <c r="B2061" s="7" t="str">
        <f>HYPERLINK("https://twitter.com/alfonsojag","@alfonsojag")</f>
        <v>@alfonsojag</v>
      </c>
      <c r="C2061" s="8" t="s">
        <v>4064</v>
      </c>
      <c r="D2061" s="9" t="s">
        <v>7033</v>
      </c>
      <c r="E2061" s="10" t="str">
        <f>HYPERLINK("https://twitter.com/alfonsojag/status/1070093984259891201","1070093984259891201")</f>
        <v>1070093984259891201</v>
      </c>
      <c r="F2061" s="16" t="s">
        <v>7034</v>
      </c>
      <c r="G2061" s="16" t="s">
        <v>7035</v>
      </c>
      <c r="H2061" s="11"/>
      <c r="I2061" s="12">
        <v>0</v>
      </c>
      <c r="J2061" s="12">
        <v>0</v>
      </c>
      <c r="K2061" s="13" t="str">
        <f t="shared" si="471"/>
        <v>Twitter for Android</v>
      </c>
      <c r="L2061" s="12">
        <v>1215</v>
      </c>
      <c r="M2061" s="12">
        <v>1506</v>
      </c>
      <c r="N2061" s="12">
        <v>28</v>
      </c>
      <c r="O2061" s="14"/>
      <c r="P2061" s="6">
        <v>40691.907048611109</v>
      </c>
      <c r="Q2061" s="15" t="s">
        <v>56</v>
      </c>
      <c r="R2061" s="17" t="s">
        <v>4067</v>
      </c>
      <c r="S2061" s="11"/>
      <c r="T2061" s="11"/>
      <c r="U2061" s="10" t="str">
        <f>HYPERLINK("https://pbs.twimg.com/profile_images/980927482529484801/U2R2WD8L.jpg","View")</f>
        <v>View</v>
      </c>
    </row>
    <row r="2062" spans="1:21" ht="61.2">
      <c r="A2062" s="6">
        <v>43439.009745370371</v>
      </c>
      <c r="B2062" s="7" t="str">
        <f>HYPERLINK("https://twitter.com/Washufleiba","@Washufleiba")</f>
        <v>@Washufleiba</v>
      </c>
      <c r="C2062" s="8" t="s">
        <v>7036</v>
      </c>
      <c r="D2062" s="9" t="s">
        <v>7037</v>
      </c>
      <c r="E2062" s="10" t="str">
        <f>HYPERLINK("https://twitter.com/Washufleiba/status/1070093904647737344","1070093904647737344")</f>
        <v>1070093904647737344</v>
      </c>
      <c r="F2062" s="16" t="s">
        <v>7038</v>
      </c>
      <c r="G2062" s="11"/>
      <c r="H2062" s="11"/>
      <c r="I2062" s="12">
        <v>0</v>
      </c>
      <c r="J2062" s="12">
        <v>1</v>
      </c>
      <c r="K2062" s="13" t="str">
        <f t="shared" si="471"/>
        <v>Twitter for Android</v>
      </c>
      <c r="L2062" s="12">
        <v>286</v>
      </c>
      <c r="M2062" s="12">
        <v>389</v>
      </c>
      <c r="N2062" s="12">
        <v>4</v>
      </c>
      <c r="O2062" s="14"/>
      <c r="P2062" s="6">
        <v>40656.045567129629</v>
      </c>
      <c r="Q2062" s="15" t="s">
        <v>1048</v>
      </c>
      <c r="R2062" s="17" t="s">
        <v>7039</v>
      </c>
      <c r="S2062" s="11"/>
      <c r="T2062" s="11"/>
      <c r="U2062" s="10" t="str">
        <f>HYPERLINK("https://pbs.twimg.com/profile_images/1066839641712660481/8qQLa7Xt.jpg","View")</f>
        <v>View</v>
      </c>
    </row>
    <row r="2063" spans="1:21" ht="51">
      <c r="A2063" s="6">
        <v>43439.008877314816</v>
      </c>
      <c r="B2063" s="7" t="str">
        <f>HYPERLINK("https://twitter.com/quebarbaroes","@quebarbaroes")</f>
        <v>@quebarbaroes</v>
      </c>
      <c r="C2063" s="8" t="s">
        <v>7040</v>
      </c>
      <c r="D2063" s="9" t="s">
        <v>7041</v>
      </c>
      <c r="E2063" s="10" t="str">
        <f>HYPERLINK("https://twitter.com/quebarbaroes/status/1070093587155742720","1070093587155742720")</f>
        <v>1070093587155742720</v>
      </c>
      <c r="F2063" s="16" t="s">
        <v>7042</v>
      </c>
      <c r="G2063" s="11"/>
      <c r="H2063" s="11"/>
      <c r="I2063" s="12">
        <v>0</v>
      </c>
      <c r="J2063" s="12">
        <v>0</v>
      </c>
      <c r="K2063" s="13" t="str">
        <f t="shared" si="471"/>
        <v>Twitter for Android</v>
      </c>
      <c r="L2063" s="12">
        <v>351</v>
      </c>
      <c r="M2063" s="12">
        <v>452</v>
      </c>
      <c r="N2063" s="12">
        <v>5</v>
      </c>
      <c r="O2063" s="14"/>
      <c r="P2063" s="6">
        <v>43030.1325462963</v>
      </c>
      <c r="Q2063" s="11"/>
      <c r="R2063" s="17" t="s">
        <v>7043</v>
      </c>
      <c r="S2063" s="11"/>
      <c r="T2063" s="11"/>
      <c r="U2063" s="10" t="str">
        <f>HYPERLINK("https://pbs.twimg.com/profile_images/921910377591525376/KaCDZoUS.jpg","View")</f>
        <v>View</v>
      </c>
    </row>
    <row r="2064" spans="1:21" ht="40.799999999999997">
      <c r="A2064" s="6">
        <v>43439.008206018523</v>
      </c>
      <c r="B2064" s="7" t="str">
        <f>HYPERLINK("https://twitter.com/MichelLardini","@MichelLardini")</f>
        <v>@MichelLardini</v>
      </c>
      <c r="C2064" s="8" t="s">
        <v>7044</v>
      </c>
      <c r="D2064" s="9" t="s">
        <v>7045</v>
      </c>
      <c r="E2064" s="10" t="str">
        <f>HYPERLINK("https://twitter.com/MichelLardini/status/1070093347182788608","1070093347182788608")</f>
        <v>1070093347182788608</v>
      </c>
      <c r="F2064" s="11"/>
      <c r="G2064" s="16" t="s">
        <v>7046</v>
      </c>
      <c r="H2064" s="11"/>
      <c r="I2064" s="12">
        <v>0</v>
      </c>
      <c r="J2064" s="12">
        <v>0</v>
      </c>
      <c r="K2064" s="13" t="str">
        <f>HYPERLINK("http://twitter.com","Twitter Web Client")</f>
        <v>Twitter Web Client</v>
      </c>
      <c r="L2064" s="12">
        <v>6</v>
      </c>
      <c r="M2064" s="12">
        <v>38</v>
      </c>
      <c r="N2064" s="12">
        <v>0</v>
      </c>
      <c r="O2064" s="14"/>
      <c r="P2064" s="6">
        <v>40855.538321759261</v>
      </c>
      <c r="Q2064" s="11"/>
      <c r="R2064" s="18"/>
      <c r="S2064" s="11"/>
      <c r="T2064" s="11"/>
      <c r="U2064" s="10" t="str">
        <f>HYPERLINK("https://pbs.twimg.com/profile_images/957763345339305984/PIB4-PC0.jpg","View")</f>
        <v>View</v>
      </c>
    </row>
    <row r="2065" spans="1:21" ht="40.799999999999997">
      <c r="A2065" s="6">
        <v>43439.007534722223</v>
      </c>
      <c r="B2065" s="7" t="str">
        <f>HYPERLINK("https://twitter.com/Jolu1970Jose","@Jolu1970Jose")</f>
        <v>@Jolu1970Jose</v>
      </c>
      <c r="C2065" s="8" t="s">
        <v>967</v>
      </c>
      <c r="D2065" s="9" t="s">
        <v>7047</v>
      </c>
      <c r="E2065" s="10" t="str">
        <f>HYPERLINK("https://twitter.com/Jolu1970Jose/status/1070093102877196288","1070093102877196288")</f>
        <v>1070093102877196288</v>
      </c>
      <c r="F2065" s="16" t="s">
        <v>7048</v>
      </c>
      <c r="G2065" s="11"/>
      <c r="H2065" s="11"/>
      <c r="I2065" s="12">
        <v>0</v>
      </c>
      <c r="J2065" s="12">
        <v>1</v>
      </c>
      <c r="K2065" s="13" t="str">
        <f t="shared" ref="K2065:K2066" si="472">HYPERLINK("http://twitter.com/download/android","Twitter for Android")</f>
        <v>Twitter for Android</v>
      </c>
      <c r="L2065" s="12">
        <v>2418</v>
      </c>
      <c r="M2065" s="12">
        <v>2578</v>
      </c>
      <c r="N2065" s="12">
        <v>22</v>
      </c>
      <c r="O2065" s="14"/>
      <c r="P2065" s="6">
        <v>40681.964178240742</v>
      </c>
      <c r="Q2065" s="11"/>
      <c r="R2065" s="17" t="s">
        <v>970</v>
      </c>
      <c r="S2065" s="11"/>
      <c r="T2065" s="11"/>
      <c r="U2065" s="10" t="str">
        <f>HYPERLINK("https://pbs.twimg.com/profile_images/997194518444175360/dnaJJ08L.jpg","View")</f>
        <v>View</v>
      </c>
    </row>
    <row r="2066" spans="1:21" ht="61.2">
      <c r="A2066" s="6">
        <v>43439.005532407406</v>
      </c>
      <c r="B2066" s="7" t="str">
        <f>HYPERLINK("https://twitter.com/CanBarca10","@CanBarca10")</f>
        <v>@CanBarca10</v>
      </c>
      <c r="C2066" s="8" t="s">
        <v>7049</v>
      </c>
      <c r="D2066" s="9" t="s">
        <v>7050</v>
      </c>
      <c r="E2066" s="10" t="str">
        <f>HYPERLINK("https://twitter.com/CanBarca10/status/1070092374624362496","1070092374624362496")</f>
        <v>1070092374624362496</v>
      </c>
      <c r="F2066" s="15" t="s">
        <v>7051</v>
      </c>
      <c r="G2066" s="11"/>
      <c r="H2066" s="11"/>
      <c r="I2066" s="12">
        <v>1</v>
      </c>
      <c r="J2066" s="12">
        <v>1</v>
      </c>
      <c r="K2066" s="13" t="str">
        <f t="shared" si="472"/>
        <v>Twitter for Android</v>
      </c>
      <c r="L2066" s="12">
        <v>206</v>
      </c>
      <c r="M2066" s="12">
        <v>293</v>
      </c>
      <c r="N2066" s="12">
        <v>3</v>
      </c>
      <c r="O2066" s="14"/>
      <c r="P2066" s="6">
        <v>42697.551261574074</v>
      </c>
      <c r="Q2066" s="11"/>
      <c r="R2066" s="17" t="s">
        <v>7052</v>
      </c>
      <c r="S2066" s="11"/>
      <c r="T2066" s="11"/>
      <c r="U2066" s="10" t="str">
        <f>HYPERLINK("https://pbs.twimg.com/profile_images/856979993167056896/AaETVH_8.jpg","View")</f>
        <v>View</v>
      </c>
    </row>
    <row r="2067" spans="1:21" ht="51">
      <c r="A2067" s="6">
        <v>43439.003784722227</v>
      </c>
      <c r="B2067" s="7" t="str">
        <f>HYPERLINK("https://twitter.com/omniaveritas_","@omniaveritas_")</f>
        <v>@omniaveritas_</v>
      </c>
      <c r="C2067" s="8" t="s">
        <v>1699</v>
      </c>
      <c r="D2067" s="9" t="s">
        <v>7053</v>
      </c>
      <c r="E2067" s="10" t="str">
        <f>HYPERLINK("https://twitter.com/omniaveritas_/status/1070091744765710341","1070091744765710341")</f>
        <v>1070091744765710341</v>
      </c>
      <c r="F2067" s="16" t="s">
        <v>7054</v>
      </c>
      <c r="G2067" s="11"/>
      <c r="H2067" s="11"/>
      <c r="I2067" s="12">
        <v>6</v>
      </c>
      <c r="J2067" s="12">
        <v>3</v>
      </c>
      <c r="K2067" s="13" t="str">
        <f>HYPERLINK("http://twitter.com/download/iphone","Twitter for iPhone")</f>
        <v>Twitter for iPhone</v>
      </c>
      <c r="L2067" s="12">
        <v>1694</v>
      </c>
      <c r="M2067" s="12">
        <v>1590</v>
      </c>
      <c r="N2067" s="12">
        <v>15</v>
      </c>
      <c r="O2067" s="14"/>
      <c r="P2067" s="6">
        <v>42289.668807870374</v>
      </c>
      <c r="Q2067" s="15" t="s">
        <v>1701</v>
      </c>
      <c r="R2067" s="17" t="s">
        <v>1702</v>
      </c>
      <c r="S2067" s="11"/>
      <c r="T2067" s="11"/>
      <c r="U2067" s="10" t="str">
        <f>HYPERLINK("https://pbs.twimg.com/profile_images/1068289529377972224/l5Gy3_Yj.jpg","View")</f>
        <v>View</v>
      </c>
    </row>
    <row r="2068" spans="1:21" ht="30.6">
      <c r="A2068" s="6">
        <v>43439.002615740741</v>
      </c>
      <c r="B2068" s="7" t="str">
        <f>HYPERLINK("https://twitter.com/piopiotwit","@piopiotwit")</f>
        <v>@piopiotwit</v>
      </c>
      <c r="C2068" s="8" t="s">
        <v>2378</v>
      </c>
      <c r="D2068" s="9" t="s">
        <v>7055</v>
      </c>
      <c r="E2068" s="10" t="str">
        <f>HYPERLINK("https://twitter.com/piopiotwit/status/1070091321120047104","1070091321120047104")</f>
        <v>1070091321120047104</v>
      </c>
      <c r="F2068" s="16" t="s">
        <v>7056</v>
      </c>
      <c r="G2068" s="11"/>
      <c r="H2068" s="11"/>
      <c r="I2068" s="12">
        <v>4</v>
      </c>
      <c r="J2068" s="12">
        <v>2</v>
      </c>
      <c r="K2068" s="13" t="str">
        <f t="shared" ref="K2068:K2069" si="473">HYPERLINK("http://twitter.com/#!/download/ipad","Twitter for iPad")</f>
        <v>Twitter for iPad</v>
      </c>
      <c r="L2068" s="12">
        <v>2430</v>
      </c>
      <c r="M2068" s="12">
        <v>1703</v>
      </c>
      <c r="N2068" s="12">
        <v>31</v>
      </c>
      <c r="O2068" s="14"/>
      <c r="P2068" s="6">
        <v>41581.075787037036</v>
      </c>
      <c r="Q2068" s="15" t="s">
        <v>2381</v>
      </c>
      <c r="R2068" s="17" t="s">
        <v>2382</v>
      </c>
      <c r="S2068" s="11"/>
      <c r="T2068" s="11"/>
      <c r="U2068" s="10" t="str">
        <f>HYPERLINK("https://pbs.twimg.com/profile_images/847751229656584192/rOz7IyzE.jpg","View")</f>
        <v>View</v>
      </c>
    </row>
    <row r="2069" spans="1:21" ht="61.2">
      <c r="A2069" s="6">
        <v>43439.002430555556</v>
      </c>
      <c r="B2069" s="7" t="str">
        <f>HYPERLINK("https://twitter.com/InakiPinuel","@InakiPinuel")</f>
        <v>@InakiPinuel</v>
      </c>
      <c r="C2069" s="8" t="s">
        <v>7057</v>
      </c>
      <c r="D2069" s="9" t="s">
        <v>7058</v>
      </c>
      <c r="E2069" s="10" t="str">
        <f>HYPERLINK("https://twitter.com/InakiPinuel/status/1070091250802536448","1070091250802536448")</f>
        <v>1070091250802536448</v>
      </c>
      <c r="F2069" s="15" t="s">
        <v>7059</v>
      </c>
      <c r="G2069" s="11"/>
      <c r="H2069" s="11"/>
      <c r="I2069" s="12">
        <v>0</v>
      </c>
      <c r="J2069" s="12">
        <v>1</v>
      </c>
      <c r="K2069" s="13" t="str">
        <f t="shared" si="473"/>
        <v>Twitter for iPad</v>
      </c>
      <c r="L2069" s="12">
        <v>3512</v>
      </c>
      <c r="M2069" s="12">
        <v>965</v>
      </c>
      <c r="N2069" s="12">
        <v>46</v>
      </c>
      <c r="O2069" s="14"/>
      <c r="P2069" s="6">
        <v>40865.327997685185</v>
      </c>
      <c r="Q2069" s="15" t="s">
        <v>612</v>
      </c>
      <c r="R2069" s="17" t="s">
        <v>7060</v>
      </c>
      <c r="S2069" s="16" t="s">
        <v>7061</v>
      </c>
      <c r="T2069" s="11"/>
      <c r="U2069" s="10" t="str">
        <f>HYPERLINK("https://pbs.twimg.com/profile_images/1023679224161468418/P6eCZ7mx.jpg","View")</f>
        <v>View</v>
      </c>
    </row>
    <row r="2070" spans="1:21" ht="20.399999999999999">
      <c r="A2070" s="6">
        <v>43439.002013888894</v>
      </c>
      <c r="B2070" s="7" t="str">
        <f>HYPERLINK("https://twitter.com/ralondi","@ralondi")</f>
        <v>@ralondi</v>
      </c>
      <c r="C2070" s="8" t="s">
        <v>7062</v>
      </c>
      <c r="D2070" s="9" t="s">
        <v>7063</v>
      </c>
      <c r="E2070" s="10" t="str">
        <f>HYPERLINK("https://twitter.com/ralondi/status/1070091103179812864","1070091103179812864")</f>
        <v>1070091103179812864</v>
      </c>
      <c r="F2070" s="11"/>
      <c r="G2070" s="16" t="s">
        <v>7064</v>
      </c>
      <c r="H2070" s="11"/>
      <c r="I2070" s="12">
        <v>1</v>
      </c>
      <c r="J2070" s="12">
        <v>0</v>
      </c>
      <c r="K2070" s="13" t="str">
        <f t="shared" ref="K2070:K2071" si="474">HYPERLINK("http://twitter.com/download/iphone","Twitter for iPhone")</f>
        <v>Twitter for iPhone</v>
      </c>
      <c r="L2070" s="12">
        <v>96</v>
      </c>
      <c r="M2070" s="12">
        <v>410</v>
      </c>
      <c r="N2070" s="12">
        <v>1</v>
      </c>
      <c r="O2070" s="14"/>
      <c r="P2070" s="6">
        <v>40880.744143518517</v>
      </c>
      <c r="Q2070" s="11"/>
      <c r="R2070" s="17" t="s">
        <v>7065</v>
      </c>
      <c r="S2070" s="11"/>
      <c r="T2070" s="11"/>
      <c r="U2070" s="10" t="str">
        <f>HYPERLINK("https://pbs.twimg.com/profile_images/914603167651962880/ceMylncd.jpg","View")</f>
        <v>View</v>
      </c>
    </row>
    <row r="2071" spans="1:21" ht="30.6">
      <c r="A2071" s="6">
        <v>43439.002013888894</v>
      </c>
      <c r="B2071" s="7" t="str">
        <f>HYPERLINK("https://twitter.com/_TaDeBe_","@_TaDeBe_")</f>
        <v>@_TaDeBe_</v>
      </c>
      <c r="C2071" s="8" t="s">
        <v>7066</v>
      </c>
      <c r="D2071" s="9" t="s">
        <v>7067</v>
      </c>
      <c r="E2071" s="10" t="str">
        <f>HYPERLINK("https://twitter.com/_TaDeBe_/status/1070091100252196864","1070091100252196864")</f>
        <v>1070091100252196864</v>
      </c>
      <c r="F2071" s="16" t="s">
        <v>132</v>
      </c>
      <c r="G2071" s="11"/>
      <c r="H2071" s="11"/>
      <c r="I2071" s="12">
        <v>0</v>
      </c>
      <c r="J2071" s="12">
        <v>0</v>
      </c>
      <c r="K2071" s="13" t="str">
        <f t="shared" si="474"/>
        <v>Twitter for iPhone</v>
      </c>
      <c r="L2071" s="12">
        <v>104</v>
      </c>
      <c r="M2071" s="12">
        <v>612</v>
      </c>
      <c r="N2071" s="12">
        <v>2</v>
      </c>
      <c r="O2071" s="14"/>
      <c r="P2071" s="6">
        <v>40672.831909722227</v>
      </c>
      <c r="Q2071" s="15" t="s">
        <v>197</v>
      </c>
      <c r="R2071" s="17" t="s">
        <v>7068</v>
      </c>
      <c r="S2071" s="11"/>
      <c r="T2071" s="11"/>
      <c r="U2071" s="10" t="str">
        <f>HYPERLINK("https://pbs.twimg.com/profile_images/1048713637744050176/nuQgH8aM.jpg","View")</f>
        <v>View</v>
      </c>
    </row>
    <row r="2072" spans="1:21" ht="51">
      <c r="A2072" s="6">
        <v>43439.001388888893</v>
      </c>
      <c r="B2072" s="7" t="str">
        <f>HYPERLINK("https://twitter.com/bitMomentum","@bitMomentum")</f>
        <v>@bitMomentum</v>
      </c>
      <c r="C2072" s="8" t="s">
        <v>82</v>
      </c>
      <c r="D2072" s="9" t="s">
        <v>7069</v>
      </c>
      <c r="E2072" s="10" t="str">
        <f>HYPERLINK("https://twitter.com/bitMomentum/status/1070090873302585347","1070090873302585347")</f>
        <v>1070090873302585347</v>
      </c>
      <c r="F2072" s="11"/>
      <c r="G2072" s="11"/>
      <c r="H2072" s="11"/>
      <c r="I2072" s="12">
        <v>0</v>
      </c>
      <c r="J2072" s="12">
        <v>0</v>
      </c>
      <c r="K2072" s="13" t="str">
        <f>HYPERLINK("http://www.bitmomentum.com","bitMomentum Bot")</f>
        <v>bitMomentum Bot</v>
      </c>
      <c r="L2072" s="12">
        <v>10253</v>
      </c>
      <c r="M2072" s="12">
        <v>1059</v>
      </c>
      <c r="N2072" s="12">
        <v>263</v>
      </c>
      <c r="O2072" s="14"/>
      <c r="P2072" s="6">
        <v>41608.667511574073</v>
      </c>
      <c r="Q2072" s="11"/>
      <c r="R2072" s="17" t="s">
        <v>84</v>
      </c>
      <c r="S2072" s="16" t="s">
        <v>85</v>
      </c>
      <c r="T2072" s="11"/>
      <c r="U2072" s="10" t="str">
        <f>HYPERLINK("https://pbs.twimg.com/profile_images/378800000862185241/20ij2H3u.png","View")</f>
        <v>View</v>
      </c>
    </row>
    <row r="2073" spans="1:21" ht="81.599999999999994">
      <c r="A2073" s="6">
        <v>43439.001180555555</v>
      </c>
      <c r="B2073" s="7" t="str">
        <f>HYPERLINK("https://twitter.com/J_F_Castillo","@J_F_Castillo")</f>
        <v>@J_F_Castillo</v>
      </c>
      <c r="C2073" s="8" t="s">
        <v>7070</v>
      </c>
      <c r="D2073" s="9" t="s">
        <v>7071</v>
      </c>
      <c r="E2073" s="10" t="str">
        <f>HYPERLINK("https://twitter.com/J_F_Castillo/status/1070090799063404546","1070090799063404546")</f>
        <v>1070090799063404546</v>
      </c>
      <c r="F2073" s="16" t="s">
        <v>7072</v>
      </c>
      <c r="G2073" s="16" t="s">
        <v>7073</v>
      </c>
      <c r="H2073" s="11"/>
      <c r="I2073" s="12">
        <v>0</v>
      </c>
      <c r="J2073" s="12">
        <v>0</v>
      </c>
      <c r="K2073" s="13" t="str">
        <f>HYPERLINK("http://twitter.com/download/iphone","Twitter for iPhone")</f>
        <v>Twitter for iPhone</v>
      </c>
      <c r="L2073" s="12">
        <v>294</v>
      </c>
      <c r="M2073" s="12">
        <v>162</v>
      </c>
      <c r="N2073" s="12">
        <v>28</v>
      </c>
      <c r="O2073" s="14"/>
      <c r="P2073" s="6">
        <v>42438.38490740741</v>
      </c>
      <c r="Q2073" s="15" t="s">
        <v>3143</v>
      </c>
      <c r="R2073" s="17" t="s">
        <v>7074</v>
      </c>
      <c r="S2073" s="11"/>
      <c r="T2073" s="11"/>
      <c r="U2073" s="10" t="str">
        <f>HYPERLINK("https://pbs.twimg.com/profile_images/952099421658996736/JhCpd9wc.jpg","View")</f>
        <v>View</v>
      </c>
    </row>
    <row r="2074" spans="1:21" ht="51">
      <c r="A2074" s="6">
        <v>43439.000694444447</v>
      </c>
      <c r="B2074" s="7" t="str">
        <f>HYPERLINK("https://twitter.com/bitMomentum","@bitMomentum")</f>
        <v>@bitMomentum</v>
      </c>
      <c r="C2074" s="8" t="s">
        <v>82</v>
      </c>
      <c r="D2074" s="9" t="s">
        <v>7075</v>
      </c>
      <c r="E2074" s="10" t="str">
        <f>HYPERLINK("https://twitter.com/bitMomentum/status/1070090621824786432","1070090621824786432")</f>
        <v>1070090621824786432</v>
      </c>
      <c r="F2074" s="11"/>
      <c r="G2074" s="11"/>
      <c r="H2074" s="11"/>
      <c r="I2074" s="12">
        <v>0</v>
      </c>
      <c r="J2074" s="12">
        <v>0</v>
      </c>
      <c r="K2074" s="13" t="str">
        <f>HYPERLINK("http://www.bitmomentum.com","bitMomentum Bot")</f>
        <v>bitMomentum Bot</v>
      </c>
      <c r="L2074" s="12">
        <v>10253</v>
      </c>
      <c r="M2074" s="12">
        <v>1059</v>
      </c>
      <c r="N2074" s="12">
        <v>263</v>
      </c>
      <c r="O2074" s="14"/>
      <c r="P2074" s="6">
        <v>41608.667511574073</v>
      </c>
      <c r="Q2074" s="11"/>
      <c r="R2074" s="17" t="s">
        <v>84</v>
      </c>
      <c r="S2074" s="16" t="s">
        <v>85</v>
      </c>
      <c r="T2074" s="11"/>
      <c r="U2074" s="10" t="str">
        <f>HYPERLINK("https://pbs.twimg.com/profile_images/378800000862185241/20ij2H3u.png","View")</f>
        <v>View</v>
      </c>
    </row>
    <row r="2075" spans="1:21" ht="71.400000000000006">
      <c r="A2075" s="6">
        <v>43439.000509259262</v>
      </c>
      <c r="B2075" s="7" t="str">
        <f>HYPERLINK("https://twitter.com/IgnManzanares","@IgnManzanares")</f>
        <v>@IgnManzanares</v>
      </c>
      <c r="C2075" s="8" t="s">
        <v>2077</v>
      </c>
      <c r="D2075" s="9" t="s">
        <v>7076</v>
      </c>
      <c r="E2075" s="10" t="str">
        <f>HYPERLINK("https://twitter.com/IgnManzanares/status/1070090557878358016","1070090557878358016")</f>
        <v>1070090557878358016</v>
      </c>
      <c r="F2075" s="16" t="s">
        <v>7077</v>
      </c>
      <c r="G2075" s="16" t="s">
        <v>7078</v>
      </c>
      <c r="H2075" s="11"/>
      <c r="I2075" s="12">
        <v>11</v>
      </c>
      <c r="J2075" s="12">
        <v>17</v>
      </c>
      <c r="K2075" s="13" t="str">
        <f>HYPERLINK("http://twitter.com/download/android","Twitter for Android")</f>
        <v>Twitter for Android</v>
      </c>
      <c r="L2075" s="12">
        <v>114</v>
      </c>
      <c r="M2075" s="12">
        <v>439</v>
      </c>
      <c r="N2075" s="12">
        <v>0</v>
      </c>
      <c r="O2075" s="14"/>
      <c r="P2075" s="6">
        <v>41369.634189814817</v>
      </c>
      <c r="Q2075" s="15" t="s">
        <v>2080</v>
      </c>
      <c r="R2075" s="17" t="s">
        <v>2081</v>
      </c>
      <c r="S2075" s="11"/>
      <c r="T2075" s="11"/>
      <c r="U2075" s="10" t="str">
        <f>HYPERLINK("https://pbs.twimg.com/profile_images/1025713053919260672/WCeu-kOZ.jpg","View")</f>
        <v>View</v>
      </c>
    </row>
    <row r="2076" spans="1:21" ht="30.6">
      <c r="A2076" s="6">
        <v>43438.999131944445</v>
      </c>
      <c r="B2076" s="7" t="str">
        <f>HYPERLINK("https://twitter.com/BorjitaBarrios","@BorjitaBarrios")</f>
        <v>@BorjitaBarrios</v>
      </c>
      <c r="C2076" s="8" t="s">
        <v>7079</v>
      </c>
      <c r="D2076" s="9" t="s">
        <v>7080</v>
      </c>
      <c r="E2076" s="10" t="str">
        <f>HYPERLINK("https://twitter.com/BorjitaBarrios/status/1070090057980223489","1070090057980223489")</f>
        <v>1070090057980223489</v>
      </c>
      <c r="F2076" s="11"/>
      <c r="G2076" s="16" t="s">
        <v>7081</v>
      </c>
      <c r="H2076" s="11"/>
      <c r="I2076" s="12">
        <v>0</v>
      </c>
      <c r="J2076" s="12">
        <v>5</v>
      </c>
      <c r="K2076" s="13" t="str">
        <f t="shared" ref="K2076:K2077" si="475">HYPERLINK("http://twitter.com/download/iphone","Twitter for iPhone")</f>
        <v>Twitter for iPhone</v>
      </c>
      <c r="L2076" s="12">
        <v>495</v>
      </c>
      <c r="M2076" s="12">
        <v>346</v>
      </c>
      <c r="N2076" s="12">
        <v>0</v>
      </c>
      <c r="O2076" s="14"/>
      <c r="P2076" s="6">
        <v>40967.855162037034</v>
      </c>
      <c r="Q2076" s="15" t="s">
        <v>4103</v>
      </c>
      <c r="R2076" s="17" t="s">
        <v>7082</v>
      </c>
      <c r="S2076" s="11"/>
      <c r="T2076" s="11"/>
      <c r="U2076" s="10" t="str">
        <f>HYPERLINK("https://pbs.twimg.com/profile_images/1023348470357340161/cSJze05g.jpg","View")</f>
        <v>View</v>
      </c>
    </row>
    <row r="2077" spans="1:21" ht="112.2">
      <c r="A2077" s="6">
        <v>43438.998541666668</v>
      </c>
      <c r="B2077" s="7" t="str">
        <f>HYPERLINK("https://twitter.com/angelarmijo91","@angelarmijo91")</f>
        <v>@angelarmijo91</v>
      </c>
      <c r="C2077" s="8" t="s">
        <v>7083</v>
      </c>
      <c r="D2077" s="9" t="s">
        <v>7084</v>
      </c>
      <c r="E2077" s="10" t="str">
        <f>HYPERLINK("https://twitter.com/angelarmijo91/status/1070089841268928512","1070089841268928512")</f>
        <v>1070089841268928512</v>
      </c>
      <c r="F2077" s="16" t="s">
        <v>7085</v>
      </c>
      <c r="G2077" s="16" t="s">
        <v>7086</v>
      </c>
      <c r="H2077" s="11"/>
      <c r="I2077" s="12">
        <v>1</v>
      </c>
      <c r="J2077" s="12">
        <v>1</v>
      </c>
      <c r="K2077" s="13" t="str">
        <f t="shared" si="475"/>
        <v>Twitter for iPhone</v>
      </c>
      <c r="L2077" s="12">
        <v>207</v>
      </c>
      <c r="M2077" s="12">
        <v>312</v>
      </c>
      <c r="N2077" s="12">
        <v>1</v>
      </c>
      <c r="O2077" s="14"/>
      <c r="P2077" s="6">
        <v>41301.766770833332</v>
      </c>
      <c r="Q2077" s="15" t="s">
        <v>56</v>
      </c>
      <c r="R2077" s="17" t="s">
        <v>7087</v>
      </c>
      <c r="S2077" s="11"/>
      <c r="T2077" s="11"/>
      <c r="U2077" s="10" t="str">
        <f>HYPERLINK("https://pbs.twimg.com/profile_images/1001374653284323328/3zPC2BUR.jpg","View")</f>
        <v>View</v>
      </c>
    </row>
    <row r="2078" spans="1:21" ht="51">
      <c r="A2078" s="6">
        <v>43438.992858796293</v>
      </c>
      <c r="B2078" s="7" t="str">
        <f>HYPERLINK("https://twitter.com/fray_fanatic","@fray_fanatic")</f>
        <v>@fray_fanatic</v>
      </c>
      <c r="C2078" s="8" t="s">
        <v>7088</v>
      </c>
      <c r="D2078" s="9" t="s">
        <v>7089</v>
      </c>
      <c r="E2078" s="10" t="str">
        <f>HYPERLINK("https://twitter.com/fray_fanatic/status/1070087784759726081","1070087784759726081")</f>
        <v>1070087784759726081</v>
      </c>
      <c r="F2078" s="16" t="s">
        <v>5850</v>
      </c>
      <c r="G2078" s="11"/>
      <c r="H2078" s="11"/>
      <c r="I2078" s="12">
        <v>1</v>
      </c>
      <c r="J2078" s="12">
        <v>6</v>
      </c>
      <c r="K2078" s="13" t="str">
        <f t="shared" ref="K2078:K2081" si="476">HYPERLINK("http://twitter.com/download/android","Twitter for Android")</f>
        <v>Twitter for Android</v>
      </c>
      <c r="L2078" s="12">
        <v>7963</v>
      </c>
      <c r="M2078" s="12">
        <v>2541</v>
      </c>
      <c r="N2078" s="12">
        <v>173</v>
      </c>
      <c r="O2078" s="14"/>
      <c r="P2078" s="6">
        <v>40070.000532407408</v>
      </c>
      <c r="Q2078" s="15" t="s">
        <v>612</v>
      </c>
      <c r="R2078" s="17" t="s">
        <v>7090</v>
      </c>
      <c r="S2078" s="11"/>
      <c r="T2078" s="11"/>
      <c r="U2078" s="10" t="str">
        <f>HYPERLINK("https://pbs.twimg.com/profile_images/1014215099459035137/BgA6gzfV.jpg","View")</f>
        <v>View</v>
      </c>
    </row>
    <row r="2079" spans="1:21" ht="40.799999999999997">
      <c r="A2079" s="6">
        <v>43438.992349537039</v>
      </c>
      <c r="B2079" s="7" t="str">
        <f>HYPERLINK("https://twitter.com/es_kiQe","@es_kiQe")</f>
        <v>@es_kiQe</v>
      </c>
      <c r="C2079" s="8" t="s">
        <v>3307</v>
      </c>
      <c r="D2079" s="9" t="s">
        <v>7091</v>
      </c>
      <c r="E2079" s="10" t="str">
        <f>HYPERLINK("https://twitter.com/es_kiQe/status/1070087598088036354","1070087598088036354")</f>
        <v>1070087598088036354</v>
      </c>
      <c r="F2079" s="16" t="s">
        <v>482</v>
      </c>
      <c r="G2079" s="11"/>
      <c r="H2079" s="11"/>
      <c r="I2079" s="12">
        <v>0</v>
      </c>
      <c r="J2079" s="12">
        <v>0</v>
      </c>
      <c r="K2079" s="13" t="str">
        <f t="shared" si="476"/>
        <v>Twitter for Android</v>
      </c>
      <c r="L2079" s="12">
        <v>124</v>
      </c>
      <c r="M2079" s="12">
        <v>735</v>
      </c>
      <c r="N2079" s="12">
        <v>6</v>
      </c>
      <c r="O2079" s="14"/>
      <c r="P2079" s="6">
        <v>40811.470856481479</v>
      </c>
      <c r="Q2079" s="15" t="s">
        <v>612</v>
      </c>
      <c r="R2079" s="17" t="s">
        <v>3309</v>
      </c>
      <c r="S2079" s="11"/>
      <c r="T2079" s="11"/>
      <c r="U2079" s="10" t="str">
        <f>HYPERLINK("https://pbs.twimg.com/profile_images/691204600423120897/skOTakrU.jpg","View")</f>
        <v>View</v>
      </c>
    </row>
    <row r="2080" spans="1:21" ht="40.799999999999997">
      <c r="A2080" s="6">
        <v>43438.990648148145</v>
      </c>
      <c r="B2080" s="7" t="str">
        <f>HYPERLINK("https://twitter.com/MartaSerres","@MartaSerres")</f>
        <v>@MartaSerres</v>
      </c>
      <c r="C2080" s="8" t="s">
        <v>7092</v>
      </c>
      <c r="D2080" s="9" t="s">
        <v>7093</v>
      </c>
      <c r="E2080" s="10" t="str">
        <f>HYPERLINK("https://twitter.com/MartaSerres/status/1070086981479268353","1070086981479268353")</f>
        <v>1070086981479268353</v>
      </c>
      <c r="F2080" s="11"/>
      <c r="G2080" s="11"/>
      <c r="H2080" s="11"/>
      <c r="I2080" s="12">
        <v>0</v>
      </c>
      <c r="J2080" s="12">
        <v>0</v>
      </c>
      <c r="K2080" s="13" t="str">
        <f t="shared" si="476"/>
        <v>Twitter for Android</v>
      </c>
      <c r="L2080" s="12">
        <v>3664</v>
      </c>
      <c r="M2080" s="12">
        <v>1987</v>
      </c>
      <c r="N2080" s="12">
        <v>55</v>
      </c>
      <c r="O2080" s="14"/>
      <c r="P2080" s="6">
        <v>40459.492199074077</v>
      </c>
      <c r="Q2080" s="15" t="s">
        <v>1027</v>
      </c>
      <c r="R2080" s="17" t="s">
        <v>7094</v>
      </c>
      <c r="S2080" s="11"/>
      <c r="T2080" s="11"/>
      <c r="U2080" s="10" t="str">
        <f>HYPERLINK("https://pbs.twimg.com/profile_images/1025491203704475653/xnZuarxw.jpg","View")</f>
        <v>View</v>
      </c>
    </row>
    <row r="2081" spans="1:21" ht="61.2">
      <c r="A2081" s="6">
        <v>43438.990289351852</v>
      </c>
      <c r="B2081" s="7" t="str">
        <f>HYPERLINK("https://twitter.com/dmysafiro","@dmysafiro")</f>
        <v>@dmysafiro</v>
      </c>
      <c r="C2081" s="8" t="s">
        <v>7095</v>
      </c>
      <c r="D2081" s="9" t="s">
        <v>7096</v>
      </c>
      <c r="E2081" s="10" t="str">
        <f>HYPERLINK("https://twitter.com/dmysafiro/status/1070086851971694593","1070086851971694593")</f>
        <v>1070086851971694593</v>
      </c>
      <c r="F2081" s="11"/>
      <c r="G2081" s="11"/>
      <c r="H2081" s="11"/>
      <c r="I2081" s="12">
        <v>0</v>
      </c>
      <c r="J2081" s="12">
        <v>0</v>
      </c>
      <c r="K2081" s="13" t="str">
        <f t="shared" si="476"/>
        <v>Twitter for Android</v>
      </c>
      <c r="L2081" s="12">
        <v>59</v>
      </c>
      <c r="M2081" s="12">
        <v>74</v>
      </c>
      <c r="N2081" s="12">
        <v>0</v>
      </c>
      <c r="O2081" s="14"/>
      <c r="P2081" s="6">
        <v>41440.806759259256</v>
      </c>
      <c r="Q2081" s="11"/>
      <c r="R2081" s="17" t="s">
        <v>7097</v>
      </c>
      <c r="S2081" s="11"/>
      <c r="T2081" s="11"/>
      <c r="U2081" s="10" t="str">
        <f>HYPERLINK("https://pbs.twimg.com/profile_images/1067919979247534081/4W8dT1S2.jpg","View")</f>
        <v>View</v>
      </c>
    </row>
    <row r="2082" spans="1:21" ht="20.399999999999999">
      <c r="A2082" s="6">
        <v>43438.990231481483</v>
      </c>
      <c r="B2082" s="7" t="str">
        <f>HYPERLINK("https://twitter.com/AlbiolsPons","@AlbiolsPons")</f>
        <v>@AlbiolsPons</v>
      </c>
      <c r="C2082" s="8" t="s">
        <v>7098</v>
      </c>
      <c r="D2082" s="9" t="s">
        <v>7099</v>
      </c>
      <c r="E2082" s="10" t="str">
        <f>HYPERLINK("https://twitter.com/AlbiolsPons/status/1070086832409509888","1070086832409509888")</f>
        <v>1070086832409509888</v>
      </c>
      <c r="F2082" s="16" t="s">
        <v>2141</v>
      </c>
      <c r="G2082" s="11"/>
      <c r="H2082" s="11"/>
      <c r="I2082" s="12">
        <v>0</v>
      </c>
      <c r="J2082" s="12">
        <v>0</v>
      </c>
      <c r="K2082" s="13" t="str">
        <f>HYPERLINK("http://twitter.com","Twitter Web Client")</f>
        <v>Twitter Web Client</v>
      </c>
      <c r="L2082" s="12">
        <v>210</v>
      </c>
      <c r="M2082" s="12">
        <v>127</v>
      </c>
      <c r="N2082" s="12">
        <v>0</v>
      </c>
      <c r="O2082" s="14"/>
      <c r="P2082" s="6">
        <v>43388.818819444445</v>
      </c>
      <c r="Q2082" s="11"/>
      <c r="R2082" s="17" t="s">
        <v>7100</v>
      </c>
      <c r="S2082" s="11"/>
      <c r="T2082" s="11"/>
      <c r="U2082" s="10" t="str">
        <f>HYPERLINK("https://pbs.twimg.com/profile_images/1051902910571929600/N85sYCId.jpg","View")</f>
        <v>View</v>
      </c>
    </row>
    <row r="2083" spans="1:21" ht="102">
      <c r="A2083" s="6">
        <v>43438.988773148143</v>
      </c>
      <c r="B2083" s="7" t="str">
        <f>HYPERLINK("https://twitter.com/currusquita","@currusquita")</f>
        <v>@currusquita</v>
      </c>
      <c r="C2083" s="8" t="s">
        <v>7101</v>
      </c>
      <c r="D2083" s="9" t="s">
        <v>7102</v>
      </c>
      <c r="E2083" s="10" t="str">
        <f>HYPERLINK("https://twitter.com/currusquita/status/1070086302996054016","1070086302996054016")</f>
        <v>1070086302996054016</v>
      </c>
      <c r="F2083" s="16" t="s">
        <v>7103</v>
      </c>
      <c r="G2083" s="16" t="s">
        <v>7104</v>
      </c>
      <c r="H2083" s="11"/>
      <c r="I2083" s="12">
        <v>134</v>
      </c>
      <c r="J2083" s="12">
        <v>166</v>
      </c>
      <c r="K2083" s="13" t="str">
        <f t="shared" ref="K2083:K2087" si="477">HYPERLINK("http://twitter.com/download/android","Twitter for Android")</f>
        <v>Twitter for Android</v>
      </c>
      <c r="L2083" s="12">
        <v>6961</v>
      </c>
      <c r="M2083" s="12">
        <v>4893</v>
      </c>
      <c r="N2083" s="12">
        <v>47</v>
      </c>
      <c r="O2083" s="14"/>
      <c r="P2083" s="6">
        <v>41666.749490740738</v>
      </c>
      <c r="Q2083" s="15" t="s">
        <v>1440</v>
      </c>
      <c r="R2083" s="17" t="s">
        <v>7105</v>
      </c>
      <c r="S2083" s="11"/>
      <c r="T2083" s="11"/>
      <c r="U2083" s="10" t="str">
        <f>HYPERLINK("https://pbs.twimg.com/profile_images/989594655955259393/pYFgobVp.jpg","View")</f>
        <v>View</v>
      </c>
    </row>
    <row r="2084" spans="1:21" ht="51">
      <c r="A2084" s="6">
        <v>43438.987199074079</v>
      </c>
      <c r="B2084" s="7" t="str">
        <f>HYPERLINK("https://twitter.com/agdelucio","@agdelucio")</f>
        <v>@agdelucio</v>
      </c>
      <c r="C2084" s="8" t="s">
        <v>904</v>
      </c>
      <c r="D2084" s="9" t="s">
        <v>7106</v>
      </c>
      <c r="E2084" s="10" t="str">
        <f>HYPERLINK("https://twitter.com/agdelucio/status/1070085732574867457","1070085732574867457")</f>
        <v>1070085732574867457</v>
      </c>
      <c r="F2084" s="11"/>
      <c r="G2084" s="11"/>
      <c r="H2084" s="11"/>
      <c r="I2084" s="12">
        <v>0</v>
      </c>
      <c r="J2084" s="12">
        <v>0</v>
      </c>
      <c r="K2084" s="13" t="str">
        <f t="shared" si="477"/>
        <v>Twitter for Android</v>
      </c>
      <c r="L2084" s="12">
        <v>107</v>
      </c>
      <c r="M2084" s="12">
        <v>146</v>
      </c>
      <c r="N2084" s="12">
        <v>9</v>
      </c>
      <c r="O2084" s="14"/>
      <c r="P2084" s="6">
        <v>40633.422314814816</v>
      </c>
      <c r="Q2084" s="15" t="s">
        <v>906</v>
      </c>
      <c r="R2084" s="17" t="s">
        <v>907</v>
      </c>
      <c r="S2084" s="11"/>
      <c r="T2084" s="11"/>
      <c r="U2084" s="10" t="str">
        <f>HYPERLINK("https://pbs.twimg.com/profile_images/1043640318485258240/_lDUO6MQ.jpg","View")</f>
        <v>View</v>
      </c>
    </row>
    <row r="2085" spans="1:21" ht="71.400000000000006">
      <c r="A2085" s="6">
        <v>43438.986296296294</v>
      </c>
      <c r="B2085" s="7" t="str">
        <f>HYPERLINK("https://twitter.com/AncapESP","@AncapESP")</f>
        <v>@AncapESP</v>
      </c>
      <c r="C2085" s="8" t="s">
        <v>7107</v>
      </c>
      <c r="D2085" s="9" t="s">
        <v>7108</v>
      </c>
      <c r="E2085" s="10" t="str">
        <f>HYPERLINK("https://twitter.com/AncapESP/status/1070085405079429120","1070085405079429120")</f>
        <v>1070085405079429120</v>
      </c>
      <c r="F2085" s="15" t="s">
        <v>7109</v>
      </c>
      <c r="G2085" s="11"/>
      <c r="H2085" s="11"/>
      <c r="I2085" s="12">
        <v>10</v>
      </c>
      <c r="J2085" s="12">
        <v>6</v>
      </c>
      <c r="K2085" s="13" t="str">
        <f t="shared" si="477"/>
        <v>Twitter for Android</v>
      </c>
      <c r="L2085" s="12">
        <v>201</v>
      </c>
      <c r="M2085" s="12">
        <v>212</v>
      </c>
      <c r="N2085" s="12">
        <v>7</v>
      </c>
      <c r="O2085" s="14"/>
      <c r="P2085" s="6">
        <v>40536.02747685185</v>
      </c>
      <c r="Q2085" s="15" t="s">
        <v>7110</v>
      </c>
      <c r="R2085" s="18"/>
      <c r="S2085" s="11"/>
      <c r="T2085" s="11"/>
      <c r="U2085" s="10" t="str">
        <f>HYPERLINK("https://pbs.twimg.com/profile_images/977861016041218049/UvYzOcqE.jpg","View")</f>
        <v>View</v>
      </c>
    </row>
    <row r="2086" spans="1:21" ht="40.799999999999997">
      <c r="A2086" s="6">
        <v>43438.986238425925</v>
      </c>
      <c r="B2086" s="7" t="str">
        <f>HYPERLINK("https://twitter.com/juandesalisbury","@juandesalisbury")</f>
        <v>@juandesalisbury</v>
      </c>
      <c r="C2086" s="8" t="s">
        <v>7111</v>
      </c>
      <c r="D2086" s="9" t="s">
        <v>7112</v>
      </c>
      <c r="E2086" s="10" t="str">
        <f>HYPERLINK("https://twitter.com/juandesalisbury/status/1070085383642337281","1070085383642337281")</f>
        <v>1070085383642337281</v>
      </c>
      <c r="F2086" s="16" t="s">
        <v>1568</v>
      </c>
      <c r="G2086" s="11"/>
      <c r="H2086" s="11"/>
      <c r="I2086" s="12">
        <v>0</v>
      </c>
      <c r="J2086" s="12">
        <v>0</v>
      </c>
      <c r="K2086" s="13" t="str">
        <f t="shared" si="477"/>
        <v>Twitter for Android</v>
      </c>
      <c r="L2086" s="12">
        <v>286</v>
      </c>
      <c r="M2086" s="12">
        <v>588</v>
      </c>
      <c r="N2086" s="12">
        <v>13</v>
      </c>
      <c r="O2086" s="14"/>
      <c r="P2086" s="6">
        <v>40943.872152777782</v>
      </c>
      <c r="Q2086" s="15" t="s">
        <v>7113</v>
      </c>
      <c r="R2086" s="17" t="s">
        <v>7114</v>
      </c>
      <c r="S2086" s="16" t="s">
        <v>7115</v>
      </c>
      <c r="T2086" s="11"/>
      <c r="U2086" s="10" t="str">
        <f>HYPERLINK("https://pbs.twimg.com/profile_images/610119705421086720/Ykp5Yn2z.jpg","View")</f>
        <v>View</v>
      </c>
    </row>
    <row r="2087" spans="1:21" ht="20.399999999999999">
      <c r="A2087" s="6">
        <v>43438.985798611116</v>
      </c>
      <c r="B2087" s="7" t="str">
        <f>HYPERLINK("https://twitter.com/MiseryBisnes_","@MiseryBisnes_")</f>
        <v>@MiseryBisnes_</v>
      </c>
      <c r="C2087" s="8" t="s">
        <v>7116</v>
      </c>
      <c r="D2087" s="9" t="s">
        <v>7117</v>
      </c>
      <c r="E2087" s="10" t="str">
        <f>HYPERLINK("https://twitter.com/MiseryBisnes_/status/1070085224263008257","1070085224263008257")</f>
        <v>1070085224263008257</v>
      </c>
      <c r="F2087" s="11"/>
      <c r="G2087" s="11"/>
      <c r="H2087" s="11"/>
      <c r="I2087" s="12">
        <v>0</v>
      </c>
      <c r="J2087" s="12">
        <v>0</v>
      </c>
      <c r="K2087" s="13" t="str">
        <f t="shared" si="477"/>
        <v>Twitter for Android</v>
      </c>
      <c r="L2087" s="12">
        <v>287</v>
      </c>
      <c r="M2087" s="12">
        <v>362</v>
      </c>
      <c r="N2087" s="12">
        <v>1</v>
      </c>
      <c r="O2087" s="14"/>
      <c r="P2087" s="6">
        <v>43055.015729166669</v>
      </c>
      <c r="Q2087" s="15" t="s">
        <v>7118</v>
      </c>
      <c r="R2087" s="17" t="s">
        <v>7119</v>
      </c>
      <c r="S2087" s="11"/>
      <c r="T2087" s="11"/>
      <c r="U2087" s="10" t="str">
        <f>HYPERLINK("https://pbs.twimg.com/profile_images/1047982883447734272/18CDI6XX.jpg","View")</f>
        <v>View</v>
      </c>
    </row>
    <row r="2088" spans="1:21" ht="20.399999999999999">
      <c r="A2088" s="6">
        <v>43438.98542824074</v>
      </c>
      <c r="B2088" s="7" t="str">
        <f>HYPERLINK("https://twitter.com/AlbiolsPons","@AlbiolsPons")</f>
        <v>@AlbiolsPons</v>
      </c>
      <c r="C2088" s="8" t="s">
        <v>7098</v>
      </c>
      <c r="D2088" s="9" t="s">
        <v>7120</v>
      </c>
      <c r="E2088" s="10" t="str">
        <f>HYPERLINK("https://twitter.com/AlbiolsPons/status/1070085089273499648","1070085089273499648")</f>
        <v>1070085089273499648</v>
      </c>
      <c r="F2088" s="16" t="s">
        <v>2141</v>
      </c>
      <c r="G2088" s="11"/>
      <c r="H2088" s="11"/>
      <c r="I2088" s="12">
        <v>0</v>
      </c>
      <c r="J2088" s="12">
        <v>1</v>
      </c>
      <c r="K2088" s="13" t="str">
        <f>HYPERLINK("http://twitter.com","Twitter Web Client")</f>
        <v>Twitter Web Client</v>
      </c>
      <c r="L2088" s="12">
        <v>210</v>
      </c>
      <c r="M2088" s="12">
        <v>127</v>
      </c>
      <c r="N2088" s="12">
        <v>0</v>
      </c>
      <c r="O2088" s="14"/>
      <c r="P2088" s="6">
        <v>43388.818819444445</v>
      </c>
      <c r="Q2088" s="11"/>
      <c r="R2088" s="17" t="s">
        <v>7100</v>
      </c>
      <c r="S2088" s="11"/>
      <c r="T2088" s="11"/>
      <c r="U2088" s="10" t="str">
        <f>HYPERLINK("https://pbs.twimg.com/profile_images/1051902910571929600/N85sYCId.jpg","View")</f>
        <v>View</v>
      </c>
    </row>
    <row r="2089" spans="1:21" ht="13.2">
      <c r="A2089" s="6">
        <v>43438.985300925924</v>
      </c>
      <c r="B2089" s="7" t="str">
        <f>HYPERLINK("https://twitter.com/Unoralsex","@Unoralsex")</f>
        <v>@Unoralsex</v>
      </c>
      <c r="C2089" s="8" t="s">
        <v>7121</v>
      </c>
      <c r="D2089" s="9" t="s">
        <v>7122</v>
      </c>
      <c r="E2089" s="10" t="str">
        <f>HYPERLINK("https://twitter.com/Unoralsex/status/1070085044025376773","1070085044025376773")</f>
        <v>1070085044025376773</v>
      </c>
      <c r="F2089" s="11"/>
      <c r="G2089" s="11"/>
      <c r="H2089" s="11"/>
      <c r="I2089" s="12">
        <v>0</v>
      </c>
      <c r="J2089" s="12">
        <v>0</v>
      </c>
      <c r="K2089" s="13" t="str">
        <f>HYPERLINK("http://twitter.com/download/iphone","Twitter for iPhone")</f>
        <v>Twitter for iPhone</v>
      </c>
      <c r="L2089" s="12">
        <v>4870</v>
      </c>
      <c r="M2089" s="12">
        <v>352</v>
      </c>
      <c r="N2089" s="12">
        <v>82</v>
      </c>
      <c r="O2089" s="14"/>
      <c r="P2089" s="6">
        <v>41236.679062499999</v>
      </c>
      <c r="Q2089" s="11"/>
      <c r="R2089" s="17" t="s">
        <v>7123</v>
      </c>
      <c r="S2089" s="11"/>
      <c r="T2089" s="11"/>
      <c r="U2089" s="10" t="str">
        <f>HYPERLINK("https://pbs.twimg.com/profile_images/752985266357428228/YHiKw0ya.jpg","View")</f>
        <v>View</v>
      </c>
    </row>
    <row r="2090" spans="1:21" ht="51">
      <c r="A2090" s="6">
        <v>43438.985162037032</v>
      </c>
      <c r="B2090" s="7" t="str">
        <f>HYPERLINK("https://twitter.com/Paula_xcd","@Paula_xcd")</f>
        <v>@Paula_xcd</v>
      </c>
      <c r="C2090" s="8" t="s">
        <v>7124</v>
      </c>
      <c r="D2090" s="9" t="s">
        <v>7125</v>
      </c>
      <c r="E2090" s="10" t="str">
        <f>HYPERLINK("https://twitter.com/Paula_xcd/status/1070084995472068608","1070084995472068608")</f>
        <v>1070084995472068608</v>
      </c>
      <c r="F2090" s="11"/>
      <c r="G2090" s="11"/>
      <c r="H2090" s="11"/>
      <c r="I2090" s="12">
        <v>0</v>
      </c>
      <c r="J2090" s="12">
        <v>0</v>
      </c>
      <c r="K2090" s="13" t="str">
        <f t="shared" ref="K2090:K2096" si="478">HYPERLINK("http://twitter.com/download/android","Twitter for Android")</f>
        <v>Twitter for Android</v>
      </c>
      <c r="L2090" s="12">
        <v>283</v>
      </c>
      <c r="M2090" s="12">
        <v>259</v>
      </c>
      <c r="N2090" s="12">
        <v>2</v>
      </c>
      <c r="O2090" s="14"/>
      <c r="P2090" s="6">
        <v>40698.919490740736</v>
      </c>
      <c r="Q2090" s="15" t="s">
        <v>7126</v>
      </c>
      <c r="R2090" s="17" t="s">
        <v>7127</v>
      </c>
      <c r="S2090" s="11"/>
      <c r="T2090" s="11"/>
      <c r="U2090" s="10" t="str">
        <f>HYPERLINK("https://pbs.twimg.com/profile_images/789465617824964608/S-37YQfy.jpg","View")</f>
        <v>View</v>
      </c>
    </row>
    <row r="2091" spans="1:21" ht="51">
      <c r="A2091" s="6">
        <v>43438.983981481477</v>
      </c>
      <c r="B2091" s="7" t="str">
        <f>HYPERLINK("https://twitter.com/novatotriste","@novatotriste")</f>
        <v>@novatotriste</v>
      </c>
      <c r="C2091" s="8" t="s">
        <v>7128</v>
      </c>
      <c r="D2091" s="9" t="s">
        <v>7129</v>
      </c>
      <c r="E2091" s="10" t="str">
        <f>HYPERLINK("https://twitter.com/novatotriste/status/1070084568114479109","1070084568114479109")</f>
        <v>1070084568114479109</v>
      </c>
      <c r="F2091" s="11"/>
      <c r="G2091" s="11"/>
      <c r="H2091" s="11"/>
      <c r="I2091" s="12">
        <v>0</v>
      </c>
      <c r="J2091" s="12">
        <v>0</v>
      </c>
      <c r="K2091" s="13" t="str">
        <f t="shared" si="478"/>
        <v>Twitter for Android</v>
      </c>
      <c r="L2091" s="12">
        <v>285</v>
      </c>
      <c r="M2091" s="12">
        <v>361</v>
      </c>
      <c r="N2091" s="12">
        <v>13</v>
      </c>
      <c r="O2091" s="14"/>
      <c r="P2091" s="6">
        <v>41534.967893518522</v>
      </c>
      <c r="Q2091" s="15" t="s">
        <v>7130</v>
      </c>
      <c r="R2091" s="17" t="s">
        <v>7131</v>
      </c>
      <c r="S2091" s="11"/>
      <c r="T2091" s="11"/>
      <c r="U2091" s="10" t="str">
        <f>HYPERLINK("https://pbs.twimg.com/profile_images/997322118135271424/_jdciYg2.jpg","View")</f>
        <v>View</v>
      </c>
    </row>
    <row r="2092" spans="1:21" ht="30.6">
      <c r="A2092" s="6">
        <v>43438.983657407407</v>
      </c>
      <c r="B2092" s="7" t="str">
        <f>HYPERLINK("https://twitter.com/JavierJ67840778","@JavierJ67840778")</f>
        <v>@JavierJ67840778</v>
      </c>
      <c r="C2092" s="8" t="s">
        <v>7132</v>
      </c>
      <c r="D2092" s="9" t="s">
        <v>7133</v>
      </c>
      <c r="E2092" s="10" t="str">
        <f>HYPERLINK("https://twitter.com/JavierJ67840778/status/1070084447779856384","1070084447779856384")</f>
        <v>1070084447779856384</v>
      </c>
      <c r="F2092" s="16" t="s">
        <v>7134</v>
      </c>
      <c r="G2092" s="11"/>
      <c r="H2092" s="11"/>
      <c r="I2092" s="12">
        <v>4</v>
      </c>
      <c r="J2092" s="12">
        <v>7</v>
      </c>
      <c r="K2092" s="13" t="str">
        <f t="shared" si="478"/>
        <v>Twitter for Android</v>
      </c>
      <c r="L2092" s="12">
        <v>2537</v>
      </c>
      <c r="M2092" s="12">
        <v>4999</v>
      </c>
      <c r="N2092" s="12">
        <v>9</v>
      </c>
      <c r="O2092" s="14"/>
      <c r="P2092" s="6">
        <v>42205.888761574075</v>
      </c>
      <c r="Q2092" s="11"/>
      <c r="R2092" s="17" t="s">
        <v>7135</v>
      </c>
      <c r="S2092" s="11"/>
      <c r="T2092" s="11"/>
      <c r="U2092" s="10" t="str">
        <f>HYPERLINK("https://pbs.twimg.com/profile_images/1031281973258604544/1sqSdUNc.jpg","View")</f>
        <v>View</v>
      </c>
    </row>
    <row r="2093" spans="1:21" ht="40.799999999999997">
      <c r="A2093" s="6">
        <v>43438.978796296295</v>
      </c>
      <c r="B2093" s="7" t="str">
        <f>HYPERLINK("https://twitter.com/MartaSerres","@MartaSerres")</f>
        <v>@MartaSerres</v>
      </c>
      <c r="C2093" s="8" t="s">
        <v>7092</v>
      </c>
      <c r="D2093" s="9" t="s">
        <v>7136</v>
      </c>
      <c r="E2093" s="10" t="str">
        <f>HYPERLINK("https://twitter.com/MartaSerres/status/1070082687468257280","1070082687468257280")</f>
        <v>1070082687468257280</v>
      </c>
      <c r="F2093" s="11"/>
      <c r="G2093" s="11"/>
      <c r="H2093" s="11"/>
      <c r="I2093" s="12">
        <v>5</v>
      </c>
      <c r="J2093" s="12">
        <v>8</v>
      </c>
      <c r="K2093" s="13" t="str">
        <f t="shared" si="478"/>
        <v>Twitter for Android</v>
      </c>
      <c r="L2093" s="12">
        <v>3664</v>
      </c>
      <c r="M2093" s="12">
        <v>1987</v>
      </c>
      <c r="N2093" s="12">
        <v>55</v>
      </c>
      <c r="O2093" s="14"/>
      <c r="P2093" s="6">
        <v>40459.492199074077</v>
      </c>
      <c r="Q2093" s="15" t="s">
        <v>1027</v>
      </c>
      <c r="R2093" s="17" t="s">
        <v>7094</v>
      </c>
      <c r="S2093" s="11"/>
      <c r="T2093" s="11"/>
      <c r="U2093" s="10" t="str">
        <f>HYPERLINK("https://pbs.twimg.com/profile_images/1025491203704475653/xnZuarxw.jpg","View")</f>
        <v>View</v>
      </c>
    </row>
    <row r="2094" spans="1:21" ht="20.399999999999999">
      <c r="A2094" s="6">
        <v>43438.977175925931</v>
      </c>
      <c r="B2094" s="7" t="str">
        <f>HYPERLINK("https://twitter.com/Dwight_85","@Dwight_85")</f>
        <v>@Dwight_85</v>
      </c>
      <c r="C2094" s="8" t="s">
        <v>7137</v>
      </c>
      <c r="D2094" s="9" t="s">
        <v>7138</v>
      </c>
      <c r="E2094" s="10" t="str">
        <f>HYPERLINK("https://twitter.com/Dwight_85/status/1070082101247135746","1070082101247135746")</f>
        <v>1070082101247135746</v>
      </c>
      <c r="F2094" s="11"/>
      <c r="G2094" s="11"/>
      <c r="H2094" s="11"/>
      <c r="I2094" s="12">
        <v>0</v>
      </c>
      <c r="J2094" s="12">
        <v>1</v>
      </c>
      <c r="K2094" s="13" t="str">
        <f t="shared" si="478"/>
        <v>Twitter for Android</v>
      </c>
      <c r="L2094" s="12">
        <v>98</v>
      </c>
      <c r="M2094" s="12">
        <v>554</v>
      </c>
      <c r="N2094" s="12">
        <v>0</v>
      </c>
      <c r="O2094" s="14"/>
      <c r="P2094" s="6">
        <v>42904.56177083333</v>
      </c>
      <c r="Q2094" s="15" t="s">
        <v>7139</v>
      </c>
      <c r="R2094" s="17" t="s">
        <v>7140</v>
      </c>
      <c r="S2094" s="11"/>
      <c r="T2094" s="11"/>
      <c r="U2094" s="10" t="str">
        <f>HYPERLINK("https://pbs.twimg.com/profile_images/1042162893083631616/vsnMCQBu.jpg","View")</f>
        <v>View</v>
      </c>
    </row>
    <row r="2095" spans="1:21" ht="40.799999999999997">
      <c r="A2095" s="6">
        <v>43438.976678240739</v>
      </c>
      <c r="B2095" s="7" t="str">
        <f>HYPERLINK("https://twitter.com/garciasimon_","@garciasimon_")</f>
        <v>@garciasimon_</v>
      </c>
      <c r="C2095" s="8" t="s">
        <v>7141</v>
      </c>
      <c r="D2095" s="9" t="s">
        <v>7142</v>
      </c>
      <c r="E2095" s="10" t="str">
        <f>HYPERLINK("https://twitter.com/garciasimon_/status/1070081921269555201","1070081921269555201")</f>
        <v>1070081921269555201</v>
      </c>
      <c r="F2095" s="11"/>
      <c r="G2095" s="16" t="s">
        <v>7143</v>
      </c>
      <c r="H2095" s="11"/>
      <c r="I2095" s="12">
        <v>1</v>
      </c>
      <c r="J2095" s="12">
        <v>4</v>
      </c>
      <c r="K2095" s="13" t="str">
        <f t="shared" si="478"/>
        <v>Twitter for Android</v>
      </c>
      <c r="L2095" s="12">
        <v>834</v>
      </c>
      <c r="M2095" s="12">
        <v>567</v>
      </c>
      <c r="N2095" s="12">
        <v>3</v>
      </c>
      <c r="O2095" s="14"/>
      <c r="P2095" s="6">
        <v>42634.849363425921</v>
      </c>
      <c r="Q2095" s="15" t="s">
        <v>1851</v>
      </c>
      <c r="R2095" s="17" t="s">
        <v>7144</v>
      </c>
      <c r="S2095" s="11"/>
      <c r="T2095" s="11"/>
      <c r="U2095" s="10" t="str">
        <f>HYPERLINK("https://pbs.twimg.com/profile_images/874343646514085889/chR-O2Ea.jpg","View")</f>
        <v>View</v>
      </c>
    </row>
    <row r="2096" spans="1:21" ht="40.799999999999997">
      <c r="A2096" s="6">
        <v>43438.976469907408</v>
      </c>
      <c r="B2096" s="7" t="str">
        <f>HYPERLINK("https://twitter.com/Xuxatronnn","@Xuxatronnn")</f>
        <v>@Xuxatronnn</v>
      </c>
      <c r="C2096" s="8" t="s">
        <v>5580</v>
      </c>
      <c r="D2096" s="9" t="s">
        <v>7145</v>
      </c>
      <c r="E2096" s="10" t="str">
        <f>HYPERLINK("https://twitter.com/Xuxatronnn/status/1070081845881135109","1070081845881135109")</f>
        <v>1070081845881135109</v>
      </c>
      <c r="F2096" s="11"/>
      <c r="G2096" s="11"/>
      <c r="H2096" s="11"/>
      <c r="I2096" s="12">
        <v>0</v>
      </c>
      <c r="J2096" s="12">
        <v>1</v>
      </c>
      <c r="K2096" s="13" t="str">
        <f t="shared" si="478"/>
        <v>Twitter for Android</v>
      </c>
      <c r="L2096" s="12">
        <v>971</v>
      </c>
      <c r="M2096" s="12">
        <v>918</v>
      </c>
      <c r="N2096" s="12">
        <v>10</v>
      </c>
      <c r="O2096" s="14"/>
      <c r="P2096" s="6">
        <v>42490.89707175926</v>
      </c>
      <c r="Q2096" s="11"/>
      <c r="R2096" s="17" t="s">
        <v>5582</v>
      </c>
      <c r="S2096" s="11"/>
      <c r="T2096" s="11"/>
      <c r="U2096" s="10" t="str">
        <f>HYPERLINK("https://pbs.twimg.com/profile_images/914584332815224835/YbW49TKK.jpg","View")</f>
        <v>View</v>
      </c>
    </row>
    <row r="2097" spans="1:21" ht="71.400000000000006">
      <c r="A2097" s="6">
        <v>43438.975636574076</v>
      </c>
      <c r="B2097" s="7" t="str">
        <f>HYPERLINK("https://twitter.com/naciubustieyu","@naciubustieyu")</f>
        <v>@naciubustieyu</v>
      </c>
      <c r="C2097" s="8" t="s">
        <v>7146</v>
      </c>
      <c r="D2097" s="9" t="s">
        <v>7147</v>
      </c>
      <c r="E2097" s="10" t="str">
        <f>HYPERLINK("https://twitter.com/naciubustieyu/status/1070081542809096192","1070081542809096192")</f>
        <v>1070081542809096192</v>
      </c>
      <c r="F2097" s="15" t="s">
        <v>7148</v>
      </c>
      <c r="G2097" s="16" t="s">
        <v>7149</v>
      </c>
      <c r="H2097" s="11"/>
      <c r="I2097" s="12">
        <v>0</v>
      </c>
      <c r="J2097" s="12">
        <v>0</v>
      </c>
      <c r="K2097" s="13" t="str">
        <f>HYPERLINK("http://twitter.com/download/iphone","Twitter for iPhone")</f>
        <v>Twitter for iPhone</v>
      </c>
      <c r="L2097" s="12">
        <v>645</v>
      </c>
      <c r="M2097" s="12">
        <v>261</v>
      </c>
      <c r="N2097" s="12">
        <v>13</v>
      </c>
      <c r="O2097" s="14"/>
      <c r="P2097" s="6">
        <v>41205.808217592596</v>
      </c>
      <c r="Q2097" s="15" t="s">
        <v>7150</v>
      </c>
      <c r="R2097" s="17" t="s">
        <v>7151</v>
      </c>
      <c r="S2097" s="16" t="s">
        <v>7152</v>
      </c>
      <c r="T2097" s="11"/>
      <c r="U2097" s="10" t="str">
        <f>HYPERLINK("https://pbs.twimg.com/profile_images/1071406375702589440/zLtqx6Vw.jpg","View")</f>
        <v>View</v>
      </c>
    </row>
    <row r="2098" spans="1:21" ht="40.799999999999997">
      <c r="A2098" s="6">
        <v>43438.973912037036</v>
      </c>
      <c r="B2098" s="7" t="str">
        <f>HYPERLINK("https://twitter.com/NoAlExpolio","@NoAlExpolio")</f>
        <v>@NoAlExpolio</v>
      </c>
      <c r="C2098" s="8" t="s">
        <v>2242</v>
      </c>
      <c r="D2098" s="9" t="s">
        <v>7153</v>
      </c>
      <c r="E2098" s="10" t="str">
        <f>HYPERLINK("https://twitter.com/NoAlExpolio/status/1070080916763172864","1070080916763172864")</f>
        <v>1070080916763172864</v>
      </c>
      <c r="F2098" s="16" t="s">
        <v>6993</v>
      </c>
      <c r="G2098" s="11"/>
      <c r="H2098" s="11"/>
      <c r="I2098" s="12">
        <v>0</v>
      </c>
      <c r="J2098" s="12">
        <v>0</v>
      </c>
      <c r="K2098" s="13" t="str">
        <f>HYPERLINK("https://mobile.twitter.com","Twitter Lite")</f>
        <v>Twitter Lite</v>
      </c>
      <c r="L2098" s="12">
        <v>365</v>
      </c>
      <c r="M2098" s="12">
        <v>504</v>
      </c>
      <c r="N2098" s="12">
        <v>2</v>
      </c>
      <c r="O2098" s="14"/>
      <c r="P2098" s="6">
        <v>42941.022824074069</v>
      </c>
      <c r="Q2098" s="11"/>
      <c r="R2098" s="17" t="s">
        <v>2244</v>
      </c>
      <c r="S2098" s="11"/>
      <c r="T2098" s="11"/>
      <c r="U2098" s="10" t="str">
        <f>HYPERLINK("https://pbs.twimg.com/profile_images/998018196962623488/o0byUEEw.jpg","View")</f>
        <v>View</v>
      </c>
    </row>
    <row r="2099" spans="1:21" ht="20.399999999999999">
      <c r="A2099" s="6">
        <v>43438.971817129626</v>
      </c>
      <c r="B2099" s="7" t="str">
        <f>HYPERLINK("https://twitter.com/Saul_Goodman_00","@Saul_Goodman_00")</f>
        <v>@Saul_Goodman_00</v>
      </c>
      <c r="C2099" s="8" t="s">
        <v>7154</v>
      </c>
      <c r="D2099" s="9" t="s">
        <v>7155</v>
      </c>
      <c r="E2099" s="10" t="str">
        <f>HYPERLINK("https://twitter.com/Saul_Goodman_00/status/1070080159397634048","1070080159397634048")</f>
        <v>1070080159397634048</v>
      </c>
      <c r="F2099" s="16" t="s">
        <v>4849</v>
      </c>
      <c r="G2099" s="16" t="s">
        <v>4850</v>
      </c>
      <c r="H2099" s="11"/>
      <c r="I2099" s="12">
        <v>0</v>
      </c>
      <c r="J2099" s="12">
        <v>2</v>
      </c>
      <c r="K2099" s="13" t="str">
        <f>HYPERLINK("http://twitter.com/download/iphone","Twitter for iPhone")</f>
        <v>Twitter for iPhone</v>
      </c>
      <c r="L2099" s="12">
        <v>106</v>
      </c>
      <c r="M2099" s="12">
        <v>73</v>
      </c>
      <c r="N2099" s="12">
        <v>1</v>
      </c>
      <c r="O2099" s="14"/>
      <c r="P2099" s="6">
        <v>40900.94259259259</v>
      </c>
      <c r="Q2099" s="15" t="s">
        <v>612</v>
      </c>
      <c r="R2099" s="18"/>
      <c r="S2099" s="11"/>
      <c r="T2099" s="11"/>
      <c r="U2099" s="10" t="str">
        <f>HYPERLINK("https://pbs.twimg.com/profile_images/1060131311678054401/_o6sN_DM.jpg","View")</f>
        <v>View</v>
      </c>
    </row>
    <row r="2100" spans="1:21" ht="30.6">
      <c r="A2100" s="6">
        <v>43438.970717592594</v>
      </c>
      <c r="B2100" s="7" t="str">
        <f>HYPERLINK("https://twitter.com/soyangelfdez","@soyangelfdez")</f>
        <v>@soyangelfdez</v>
      </c>
      <c r="C2100" s="8" t="s">
        <v>7156</v>
      </c>
      <c r="D2100" s="9" t="s">
        <v>7157</v>
      </c>
      <c r="E2100" s="10" t="str">
        <f>HYPERLINK("https://twitter.com/soyangelfdez/status/1070079758149566464","1070079758149566464")</f>
        <v>1070079758149566464</v>
      </c>
      <c r="F2100" s="11"/>
      <c r="G2100" s="16" t="s">
        <v>7158</v>
      </c>
      <c r="H2100" s="11"/>
      <c r="I2100" s="12">
        <v>0</v>
      </c>
      <c r="J2100" s="12">
        <v>0</v>
      </c>
      <c r="K2100" s="13" t="str">
        <f t="shared" ref="K2100:K2101" si="479">HYPERLINK("http://twitter.com/download/android","Twitter for Android")</f>
        <v>Twitter for Android</v>
      </c>
      <c r="L2100" s="12">
        <v>60</v>
      </c>
      <c r="M2100" s="12">
        <v>100</v>
      </c>
      <c r="N2100" s="12">
        <v>0</v>
      </c>
      <c r="O2100" s="14"/>
      <c r="P2100" s="6">
        <v>41597.536087962959</v>
      </c>
      <c r="Q2100" s="11"/>
      <c r="R2100" s="17" t="s">
        <v>7159</v>
      </c>
      <c r="S2100" s="11"/>
      <c r="T2100" s="11"/>
      <c r="U2100" s="10" t="str">
        <f>HYPERLINK("https://pbs.twimg.com/profile_images/1033866538833592321/HIjHhulm.jpg","View")</f>
        <v>View</v>
      </c>
    </row>
    <row r="2101" spans="1:21" ht="61.2">
      <c r="A2101" s="6">
        <v>43438.968784722223</v>
      </c>
      <c r="B2101" s="7" t="str">
        <f>HYPERLINK("https://twitter.com/doguionrego","@doguionrego")</f>
        <v>@doguionrego</v>
      </c>
      <c r="C2101" s="8" t="s">
        <v>194</v>
      </c>
      <c r="D2101" s="9" t="s">
        <v>7160</v>
      </c>
      <c r="E2101" s="10" t="str">
        <f>HYPERLINK("https://twitter.com/doguionrego/status/1070079058992660481","1070079058992660481")</f>
        <v>1070079058992660481</v>
      </c>
      <c r="F2101" s="15" t="s">
        <v>7161</v>
      </c>
      <c r="G2101" s="11"/>
      <c r="H2101" s="11"/>
      <c r="I2101" s="12">
        <v>0</v>
      </c>
      <c r="J2101" s="12">
        <v>1</v>
      </c>
      <c r="K2101" s="13" t="str">
        <f t="shared" si="479"/>
        <v>Twitter for Android</v>
      </c>
      <c r="L2101" s="12">
        <v>4650</v>
      </c>
      <c r="M2101" s="12">
        <v>4774</v>
      </c>
      <c r="N2101" s="12">
        <v>9</v>
      </c>
      <c r="O2101" s="14"/>
      <c r="P2101" s="6">
        <v>42818.633599537032</v>
      </c>
      <c r="Q2101" s="15" t="s">
        <v>197</v>
      </c>
      <c r="R2101" s="17" t="s">
        <v>198</v>
      </c>
      <c r="S2101" s="11"/>
      <c r="T2101" s="11"/>
      <c r="U2101" s="10" t="str">
        <f>HYPERLINK("https://pbs.twimg.com/profile_images/937615481602789376/OBa7YPsM.jpg","View")</f>
        <v>View</v>
      </c>
    </row>
    <row r="2102" spans="1:21" ht="40.799999999999997">
      <c r="A2102" s="6">
        <v>43438.966562500005</v>
      </c>
      <c r="B2102" s="7" t="str">
        <f>HYPERLINK("https://twitter.com/CristoReySpain","@CristoReySpain")</f>
        <v>@CristoReySpain</v>
      </c>
      <c r="C2102" s="8" t="s">
        <v>7162</v>
      </c>
      <c r="D2102" s="9" t="s">
        <v>7163</v>
      </c>
      <c r="E2102" s="10" t="str">
        <f>HYPERLINK("https://twitter.com/CristoReySpain/status/1070078253413601280","1070078253413601280")</f>
        <v>1070078253413601280</v>
      </c>
      <c r="F2102" s="11"/>
      <c r="G2102" s="16" t="s">
        <v>7164</v>
      </c>
      <c r="H2102" s="11"/>
      <c r="I2102" s="12">
        <v>88</v>
      </c>
      <c r="J2102" s="12">
        <v>118</v>
      </c>
      <c r="K2102" s="13" t="str">
        <f>HYPERLINK("http://twitter.com/download/iphone","Twitter for iPhone")</f>
        <v>Twitter for iPhone</v>
      </c>
      <c r="L2102" s="12">
        <v>2241</v>
      </c>
      <c r="M2102" s="12">
        <v>4174</v>
      </c>
      <c r="N2102" s="12">
        <v>4</v>
      </c>
      <c r="O2102" s="14"/>
      <c r="P2102" s="6">
        <v>43284.982337962967</v>
      </c>
      <c r="Q2102" s="15" t="s">
        <v>7165</v>
      </c>
      <c r="R2102" s="17" t="s">
        <v>7166</v>
      </c>
      <c r="S2102" s="11"/>
      <c r="T2102" s="11"/>
      <c r="U2102" s="10" t="str">
        <f>HYPERLINK("https://pbs.twimg.com/profile_images/1069707323604721666/og4qRBL9.jpg","View")</f>
        <v>View</v>
      </c>
    </row>
    <row r="2103" spans="1:21" ht="51">
      <c r="A2103" s="6">
        <v>43438.966087962966</v>
      </c>
      <c r="B2103" s="7" t="str">
        <f>HYPERLINK("https://twitter.com/NoemRamos","@NoemRamos")</f>
        <v>@NoemRamos</v>
      </c>
      <c r="C2103" s="8" t="s">
        <v>5323</v>
      </c>
      <c r="D2103" s="9" t="s">
        <v>7167</v>
      </c>
      <c r="E2103" s="10" t="str">
        <f>HYPERLINK("https://twitter.com/NoemRamos/status/1070078083628220416","1070078083628220416")</f>
        <v>1070078083628220416</v>
      </c>
      <c r="F2103" s="16" t="s">
        <v>2141</v>
      </c>
      <c r="G2103" s="11"/>
      <c r="H2103" s="11"/>
      <c r="I2103" s="12">
        <v>0</v>
      </c>
      <c r="J2103" s="12">
        <v>0</v>
      </c>
      <c r="K2103" s="13" t="str">
        <f>HYPERLINK("http://twitter.com","Twitter Web Client")</f>
        <v>Twitter Web Client</v>
      </c>
      <c r="L2103" s="12">
        <v>346</v>
      </c>
      <c r="M2103" s="12">
        <v>175</v>
      </c>
      <c r="N2103" s="12">
        <v>5</v>
      </c>
      <c r="O2103" s="14"/>
      <c r="P2103" s="6">
        <v>40884.71943287037</v>
      </c>
      <c r="Q2103" s="15" t="s">
        <v>5326</v>
      </c>
      <c r="R2103" s="17" t="s">
        <v>5327</v>
      </c>
      <c r="S2103" s="11"/>
      <c r="T2103" s="11"/>
      <c r="U2103" s="10" t="str">
        <f>HYPERLINK("https://pbs.twimg.com/profile_images/986560361418641408/ELEFCanz.jpg","View")</f>
        <v>View</v>
      </c>
    </row>
    <row r="2104" spans="1:21" ht="61.2">
      <c r="A2104" s="6">
        <v>43438.965902777782</v>
      </c>
      <c r="B2104" s="7" t="str">
        <f>HYPERLINK("https://twitter.com/Angel_Esojo","@Angel_Esojo")</f>
        <v>@Angel_Esojo</v>
      </c>
      <c r="C2104" s="8" t="s">
        <v>7168</v>
      </c>
      <c r="D2104" s="9" t="s">
        <v>7169</v>
      </c>
      <c r="E2104" s="10" t="str">
        <f>HYPERLINK("https://twitter.com/Angel_Esojo/status/1070078013910515712","1070078013910515712")</f>
        <v>1070078013910515712</v>
      </c>
      <c r="F2104" s="16" t="s">
        <v>7170</v>
      </c>
      <c r="G2104" s="16" t="s">
        <v>7171</v>
      </c>
      <c r="H2104" s="11"/>
      <c r="I2104" s="12">
        <v>0</v>
      </c>
      <c r="J2104" s="12">
        <v>0</v>
      </c>
      <c r="K2104" s="13" t="str">
        <f>HYPERLINK("http://twitter.com/download/iphone","Twitter for iPhone")</f>
        <v>Twitter for iPhone</v>
      </c>
      <c r="L2104" s="12">
        <v>3589</v>
      </c>
      <c r="M2104" s="12">
        <v>793</v>
      </c>
      <c r="N2104" s="12">
        <v>102</v>
      </c>
      <c r="O2104" s="14"/>
      <c r="P2104" s="6">
        <v>40814.799351851849</v>
      </c>
      <c r="Q2104" s="15" t="s">
        <v>4785</v>
      </c>
      <c r="R2104" s="17" t="s">
        <v>7172</v>
      </c>
      <c r="S2104" s="16" t="s">
        <v>7173</v>
      </c>
      <c r="T2104" s="11"/>
      <c r="U2104" s="10" t="str">
        <f>HYPERLINK("https://pbs.twimg.com/profile_images/988732473734565888/27MAMcVF.jpg","View")</f>
        <v>View</v>
      </c>
    </row>
    <row r="2105" spans="1:21" ht="20.399999999999999">
      <c r="A2105" s="6">
        <v>43438.965694444443</v>
      </c>
      <c r="B2105" s="7" t="str">
        <f>HYPERLINK("https://twitter.com/peiroantonio1","@peiroantonio1")</f>
        <v>@peiroantonio1</v>
      </c>
      <c r="C2105" s="8" t="s">
        <v>7174</v>
      </c>
      <c r="D2105" s="9" t="s">
        <v>7175</v>
      </c>
      <c r="E2105" s="10" t="str">
        <f>HYPERLINK("https://twitter.com/peiroantonio1/status/1070077940615036928","1070077940615036928")</f>
        <v>1070077940615036928</v>
      </c>
      <c r="F2105" s="11"/>
      <c r="G2105" s="16" t="s">
        <v>7176</v>
      </c>
      <c r="H2105" s="11"/>
      <c r="I2105" s="12">
        <v>0</v>
      </c>
      <c r="J2105" s="12">
        <v>0</v>
      </c>
      <c r="K2105" s="13" t="str">
        <f>HYPERLINK("https://mobile.twitter.com","Twitter Lite")</f>
        <v>Twitter Lite</v>
      </c>
      <c r="L2105" s="12">
        <v>461</v>
      </c>
      <c r="M2105" s="12">
        <v>542</v>
      </c>
      <c r="N2105" s="12">
        <v>4</v>
      </c>
      <c r="O2105" s="14"/>
      <c r="P2105" s="6">
        <v>41687.478437500002</v>
      </c>
      <c r="Q2105" s="11"/>
      <c r="R2105" s="17" t="s">
        <v>7177</v>
      </c>
      <c r="S2105" s="11"/>
      <c r="T2105" s="11"/>
      <c r="U2105" s="10" t="str">
        <f>HYPERLINK("https://pbs.twimg.com/profile_images/435393149125414912/KWhIzkzy.jpeg","View")</f>
        <v>View</v>
      </c>
    </row>
    <row r="2106" spans="1:21" ht="13.2">
      <c r="A2106" s="6">
        <v>43438.965624999997</v>
      </c>
      <c r="B2106" s="7" t="str">
        <f>HYPERLINK("https://twitter.com/pabloserrano","@pabloserrano")</f>
        <v>@pabloserrano</v>
      </c>
      <c r="C2106" s="8" t="s">
        <v>7178</v>
      </c>
      <c r="D2106" s="9" t="s">
        <v>7179</v>
      </c>
      <c r="E2106" s="10" t="str">
        <f>HYPERLINK("https://twitter.com/pabloserrano/status/1070077915583430656","1070077915583430656")</f>
        <v>1070077915583430656</v>
      </c>
      <c r="F2106" s="11"/>
      <c r="G2106" s="11"/>
      <c r="H2106" s="11"/>
      <c r="I2106" s="12">
        <v>65</v>
      </c>
      <c r="J2106" s="12">
        <v>215</v>
      </c>
      <c r="K2106" s="13" t="str">
        <f>HYPERLINK("http://tapbots.com/tweetbot","Tweetbot for iΟS")</f>
        <v>Tweetbot for iΟS</v>
      </c>
      <c r="L2106" s="12">
        <v>3031</v>
      </c>
      <c r="M2106" s="12">
        <v>999</v>
      </c>
      <c r="N2106" s="12">
        <v>89</v>
      </c>
      <c r="O2106" s="14"/>
      <c r="P2106" s="6">
        <v>39169.565960648149</v>
      </c>
      <c r="Q2106" s="11"/>
      <c r="R2106" s="17" t="s">
        <v>7180</v>
      </c>
      <c r="S2106" s="11"/>
      <c r="T2106" s="11"/>
      <c r="U2106" s="10" t="str">
        <f>HYPERLINK("https://pbs.twimg.com/profile_images/986683411661238272/pMojuInm.jpg","View")</f>
        <v>View</v>
      </c>
    </row>
    <row r="2107" spans="1:21" ht="51">
      <c r="A2107" s="6">
        <v>43438.96194444444</v>
      </c>
      <c r="B2107" s="7" t="str">
        <f>HYPERLINK("https://twitter.com/CdV_Navarra","@CdV_Navarra")</f>
        <v>@CdV_Navarra</v>
      </c>
      <c r="C2107" s="8" t="s">
        <v>7181</v>
      </c>
      <c r="D2107" s="9" t="s">
        <v>7182</v>
      </c>
      <c r="E2107" s="10" t="str">
        <f>HYPERLINK("https://twitter.com/CdV_Navarra/status/1070076578875564032","1070076578875564032")</f>
        <v>1070076578875564032</v>
      </c>
      <c r="F2107" s="16" t="s">
        <v>1568</v>
      </c>
      <c r="G2107" s="11"/>
      <c r="H2107" s="11"/>
      <c r="I2107" s="12">
        <v>0</v>
      </c>
      <c r="J2107" s="12">
        <v>0</v>
      </c>
      <c r="K2107" s="13" t="str">
        <f>HYPERLINK("http://twitter.com/download/android","Twitter for Android")</f>
        <v>Twitter for Android</v>
      </c>
      <c r="L2107" s="12">
        <v>1039</v>
      </c>
      <c r="M2107" s="12">
        <v>821</v>
      </c>
      <c r="N2107" s="12">
        <v>16</v>
      </c>
      <c r="O2107" s="14"/>
      <c r="P2107" s="6">
        <v>42374.467511574076</v>
      </c>
      <c r="Q2107" s="15" t="s">
        <v>7183</v>
      </c>
      <c r="R2107" s="17" t="s">
        <v>7184</v>
      </c>
      <c r="S2107" s="16" t="s">
        <v>1050</v>
      </c>
      <c r="T2107" s="11"/>
      <c r="U2107" s="10" t="str">
        <f>HYPERLINK("https://pbs.twimg.com/profile_images/728847454179872768/Njzn92Hg.jpg","View")</f>
        <v>View</v>
      </c>
    </row>
    <row r="2108" spans="1:21" ht="30.6">
      <c r="A2108" s="6">
        <v>43438.961168981477</v>
      </c>
      <c r="B2108" s="7" t="str">
        <f>HYPERLINK("https://twitter.com/itsjuliaolive","@itsjuliaolive")</f>
        <v>@itsjuliaolive</v>
      </c>
      <c r="C2108" s="8" t="s">
        <v>7185</v>
      </c>
      <c r="D2108" s="9" t="s">
        <v>7186</v>
      </c>
      <c r="E2108" s="10" t="str">
        <f>HYPERLINK("https://twitter.com/itsjuliaolive/status/1070076301044793344","1070076301044793344")</f>
        <v>1070076301044793344</v>
      </c>
      <c r="F2108" s="11"/>
      <c r="G2108" s="11"/>
      <c r="H2108" s="11"/>
      <c r="I2108" s="12">
        <v>1</v>
      </c>
      <c r="J2108" s="12">
        <v>1</v>
      </c>
      <c r="K2108" s="13" t="str">
        <f>HYPERLINK("http://twitter.com/download/iphone","Twitter for iPhone")</f>
        <v>Twitter for iPhone</v>
      </c>
      <c r="L2108" s="12">
        <v>1084</v>
      </c>
      <c r="M2108" s="12">
        <v>893</v>
      </c>
      <c r="N2108" s="12">
        <v>43</v>
      </c>
      <c r="O2108" s="14"/>
      <c r="P2108" s="6">
        <v>41365.784594907411</v>
      </c>
      <c r="Q2108" s="15" t="s">
        <v>7187</v>
      </c>
      <c r="R2108" s="17" t="s">
        <v>7188</v>
      </c>
      <c r="S2108" s="11"/>
      <c r="T2108" s="11"/>
      <c r="U2108" s="10" t="str">
        <f>HYPERLINK("https://pbs.twimg.com/profile_images/1037384136317657089/zb7eBRgL.jpg","View")</f>
        <v>View</v>
      </c>
    </row>
    <row r="2109" spans="1:21" ht="51">
      <c r="A2109" s="6">
        <v>43438.9609375</v>
      </c>
      <c r="B2109" s="7" t="str">
        <f>HYPERLINK("https://twitter.com/agdelucio","@agdelucio")</f>
        <v>@agdelucio</v>
      </c>
      <c r="C2109" s="8" t="s">
        <v>904</v>
      </c>
      <c r="D2109" s="9" t="s">
        <v>7189</v>
      </c>
      <c r="E2109" s="10" t="str">
        <f>HYPERLINK("https://twitter.com/agdelucio/status/1070076216793841664","1070076216793841664")</f>
        <v>1070076216793841664</v>
      </c>
      <c r="F2109" s="11"/>
      <c r="G2109" s="11"/>
      <c r="H2109" s="11"/>
      <c r="I2109" s="12">
        <v>0</v>
      </c>
      <c r="J2109" s="12">
        <v>1</v>
      </c>
      <c r="K2109" s="13" t="str">
        <f t="shared" ref="K2109:K2111" si="480">HYPERLINK("http://twitter.com/download/android","Twitter for Android")</f>
        <v>Twitter for Android</v>
      </c>
      <c r="L2109" s="12">
        <v>107</v>
      </c>
      <c r="M2109" s="12">
        <v>146</v>
      </c>
      <c r="N2109" s="12">
        <v>9</v>
      </c>
      <c r="O2109" s="14"/>
      <c r="P2109" s="6">
        <v>40633.422314814816</v>
      </c>
      <c r="Q2109" s="15" t="s">
        <v>906</v>
      </c>
      <c r="R2109" s="17" t="s">
        <v>907</v>
      </c>
      <c r="S2109" s="11"/>
      <c r="T2109" s="11"/>
      <c r="U2109" s="10" t="str">
        <f>HYPERLINK("https://pbs.twimg.com/profile_images/1043640318485258240/_lDUO6MQ.jpg","View")</f>
        <v>View</v>
      </c>
    </row>
    <row r="2110" spans="1:21" ht="51">
      <c r="A2110" s="6">
        <v>43438.96020833333</v>
      </c>
      <c r="B2110" s="7" t="str">
        <f>HYPERLINK("https://twitter.com/kike_vallekas","@kike_vallekas")</f>
        <v>@kike_vallekas</v>
      </c>
      <c r="C2110" s="8" t="s">
        <v>7190</v>
      </c>
      <c r="D2110" s="9" t="s">
        <v>7191</v>
      </c>
      <c r="E2110" s="10" t="str">
        <f>HYPERLINK("https://twitter.com/kike_vallekas/status/1070075951839625216","1070075951839625216")</f>
        <v>1070075951839625216</v>
      </c>
      <c r="F2110" s="15" t="s">
        <v>7192</v>
      </c>
      <c r="G2110" s="11"/>
      <c r="H2110" s="11"/>
      <c r="I2110" s="12">
        <v>0</v>
      </c>
      <c r="J2110" s="12">
        <v>0</v>
      </c>
      <c r="K2110" s="13" t="str">
        <f t="shared" si="480"/>
        <v>Twitter for Android</v>
      </c>
      <c r="L2110" s="12">
        <v>46</v>
      </c>
      <c r="M2110" s="12">
        <v>216</v>
      </c>
      <c r="N2110" s="12">
        <v>0</v>
      </c>
      <c r="O2110" s="14"/>
      <c r="P2110" s="6">
        <v>41407.600856481484</v>
      </c>
      <c r="Q2110" s="15" t="s">
        <v>7193</v>
      </c>
      <c r="R2110" s="17" t="s">
        <v>7194</v>
      </c>
      <c r="S2110" s="11"/>
      <c r="T2110" s="11"/>
      <c r="U2110" s="10" t="str">
        <f>HYPERLINK("https://pbs.twimg.com/profile_images/539505952345837568/v5l120hC.jpeg","View")</f>
        <v>View</v>
      </c>
    </row>
    <row r="2111" spans="1:21" ht="20.399999999999999">
      <c r="A2111" s="6">
        <v>43438.959953703699</v>
      </c>
      <c r="B2111" s="7" t="str">
        <f>HYPERLINK("https://twitter.com/Jesus87051090","@Jesus87051090")</f>
        <v>@Jesus87051090</v>
      </c>
      <c r="C2111" s="8" t="s">
        <v>7195</v>
      </c>
      <c r="D2111" s="9" t="s">
        <v>7196</v>
      </c>
      <c r="E2111" s="10" t="str">
        <f>HYPERLINK("https://twitter.com/Jesus87051090/status/1070075860814827521","1070075860814827521")</f>
        <v>1070075860814827521</v>
      </c>
      <c r="F2111" s="16" t="s">
        <v>7197</v>
      </c>
      <c r="G2111" s="11"/>
      <c r="H2111" s="11"/>
      <c r="I2111" s="12">
        <v>1</v>
      </c>
      <c r="J2111" s="12">
        <v>0</v>
      </c>
      <c r="K2111" s="13" t="str">
        <f t="shared" si="480"/>
        <v>Twitter for Android</v>
      </c>
      <c r="L2111" s="12">
        <v>61</v>
      </c>
      <c r="M2111" s="12">
        <v>123</v>
      </c>
      <c r="N2111" s="12">
        <v>0</v>
      </c>
      <c r="O2111" s="14"/>
      <c r="P2111" s="6">
        <v>43436.954537037032</v>
      </c>
      <c r="Q2111" s="15" t="s">
        <v>7198</v>
      </c>
      <c r="R2111" s="17" t="s">
        <v>7199</v>
      </c>
      <c r="S2111" s="11"/>
      <c r="T2111" s="11"/>
      <c r="U2111" s="10" t="str">
        <f>HYPERLINK("https://pbs.twimg.com/profile_images/1069363373459062785/CIwYcHgC.jpg","View")</f>
        <v>View</v>
      </c>
    </row>
    <row r="2112" spans="1:21" ht="51">
      <c r="A2112" s="6">
        <v>43438.959722222222</v>
      </c>
      <c r="B2112" s="7" t="str">
        <f>HYPERLINK("https://twitter.com/bitMomentum","@bitMomentum")</f>
        <v>@bitMomentum</v>
      </c>
      <c r="C2112" s="8" t="s">
        <v>82</v>
      </c>
      <c r="D2112" s="9" t="s">
        <v>7200</v>
      </c>
      <c r="E2112" s="10" t="str">
        <f>HYPERLINK("https://twitter.com/bitMomentum/status/1070075773896327170","1070075773896327170")</f>
        <v>1070075773896327170</v>
      </c>
      <c r="F2112" s="11"/>
      <c r="G2112" s="11"/>
      <c r="H2112" s="11"/>
      <c r="I2112" s="12">
        <v>0</v>
      </c>
      <c r="J2112" s="12">
        <v>0</v>
      </c>
      <c r="K2112" s="13" t="str">
        <f>HYPERLINK("http://www.bitmomentum.com","bitMomentum Bot")</f>
        <v>bitMomentum Bot</v>
      </c>
      <c r="L2112" s="12">
        <v>10253</v>
      </c>
      <c r="M2112" s="12">
        <v>1059</v>
      </c>
      <c r="N2112" s="12">
        <v>263</v>
      </c>
      <c r="O2112" s="14"/>
      <c r="P2112" s="6">
        <v>41608.667511574073</v>
      </c>
      <c r="Q2112" s="11"/>
      <c r="R2112" s="17" t="s">
        <v>84</v>
      </c>
      <c r="S2112" s="16" t="s">
        <v>85</v>
      </c>
      <c r="T2112" s="11"/>
      <c r="U2112" s="10" t="str">
        <f>HYPERLINK("https://pbs.twimg.com/profile_images/378800000862185241/20ij2H3u.png","View")</f>
        <v>View</v>
      </c>
    </row>
    <row r="2113" spans="1:21" ht="51">
      <c r="A2113" s="6">
        <v>43438.95925925926</v>
      </c>
      <c r="B2113" s="7" t="str">
        <f>HYPERLINK("https://twitter.com/jesus_pga","@jesus_pga")</f>
        <v>@jesus_pga</v>
      </c>
      <c r="C2113" s="8" t="s">
        <v>7201</v>
      </c>
      <c r="D2113" s="9" t="s">
        <v>7202</v>
      </c>
      <c r="E2113" s="10" t="str">
        <f>HYPERLINK("https://twitter.com/jesus_pga/status/1070075607885717504","1070075607885717504")</f>
        <v>1070075607885717504</v>
      </c>
      <c r="F2113" s="11"/>
      <c r="G2113" s="11"/>
      <c r="H2113" s="11"/>
      <c r="I2113" s="12">
        <v>0</v>
      </c>
      <c r="J2113" s="12">
        <v>0</v>
      </c>
      <c r="K2113" s="13" t="str">
        <f>HYPERLINK("http://twitter.com/download/android","Twitter for Android")</f>
        <v>Twitter for Android</v>
      </c>
      <c r="L2113" s="12">
        <v>219</v>
      </c>
      <c r="M2113" s="12">
        <v>181</v>
      </c>
      <c r="N2113" s="12">
        <v>8</v>
      </c>
      <c r="O2113" s="14"/>
      <c r="P2113" s="6">
        <v>41858.374571759261</v>
      </c>
      <c r="Q2113" s="15" t="s">
        <v>7203</v>
      </c>
      <c r="R2113" s="17" t="s">
        <v>7204</v>
      </c>
      <c r="S2113" s="11"/>
      <c r="T2113" s="11"/>
      <c r="U2113" s="10" t="str">
        <f>HYPERLINK("https://pbs.twimg.com/profile_images/753002159583690753/E47aRUdS.jpg","View")</f>
        <v>View</v>
      </c>
    </row>
    <row r="2114" spans="1:21" ht="51">
      <c r="A2114" s="6">
        <v>43438.959027777775</v>
      </c>
      <c r="B2114" s="7" t="str">
        <f>HYPERLINK("https://twitter.com/bitMomentum","@bitMomentum")</f>
        <v>@bitMomentum</v>
      </c>
      <c r="C2114" s="8" t="s">
        <v>82</v>
      </c>
      <c r="D2114" s="9" t="s">
        <v>7205</v>
      </c>
      <c r="E2114" s="10" t="str">
        <f>HYPERLINK("https://twitter.com/bitMomentum/status/1070075522221293570","1070075522221293570")</f>
        <v>1070075522221293570</v>
      </c>
      <c r="F2114" s="11"/>
      <c r="G2114" s="11"/>
      <c r="H2114" s="11"/>
      <c r="I2114" s="12">
        <v>0</v>
      </c>
      <c r="J2114" s="12">
        <v>0</v>
      </c>
      <c r="K2114" s="13" t="str">
        <f>HYPERLINK("http://www.bitmomentum.com","bitMomentum Bot")</f>
        <v>bitMomentum Bot</v>
      </c>
      <c r="L2114" s="12">
        <v>10253</v>
      </c>
      <c r="M2114" s="12">
        <v>1059</v>
      </c>
      <c r="N2114" s="12">
        <v>263</v>
      </c>
      <c r="O2114" s="14"/>
      <c r="P2114" s="6">
        <v>41608.667511574073</v>
      </c>
      <c r="Q2114" s="11"/>
      <c r="R2114" s="17" t="s">
        <v>84</v>
      </c>
      <c r="S2114" s="16" t="s">
        <v>85</v>
      </c>
      <c r="T2114" s="11"/>
      <c r="U2114" s="10" t="str">
        <f>HYPERLINK("https://pbs.twimg.com/profile_images/378800000862185241/20ij2H3u.png","View")</f>
        <v>View</v>
      </c>
    </row>
    <row r="2115" spans="1:21" ht="40.799999999999997">
      <c r="A2115" s="6">
        <v>43438.958553240736</v>
      </c>
      <c r="B2115" s="7" t="str">
        <f>HYPERLINK("https://twitter.com/alex_Reese_","@alex_Reese_")</f>
        <v>@alex_Reese_</v>
      </c>
      <c r="C2115" s="8" t="s">
        <v>7206</v>
      </c>
      <c r="D2115" s="9" t="s">
        <v>7207</v>
      </c>
      <c r="E2115" s="10" t="str">
        <f>HYPERLINK("https://twitter.com/alex_Reese_/status/1070075350485475329","1070075350485475329")</f>
        <v>1070075350485475329</v>
      </c>
      <c r="F2115" s="11"/>
      <c r="G2115" s="11"/>
      <c r="H2115" s="11"/>
      <c r="I2115" s="12">
        <v>0</v>
      </c>
      <c r="J2115" s="12">
        <v>2</v>
      </c>
      <c r="K2115" s="13" t="str">
        <f t="shared" ref="K2115:K2119" si="481">HYPERLINK("http://twitter.com/download/android","Twitter for Android")</f>
        <v>Twitter for Android</v>
      </c>
      <c r="L2115" s="12">
        <v>123</v>
      </c>
      <c r="M2115" s="12">
        <v>251</v>
      </c>
      <c r="N2115" s="12">
        <v>5</v>
      </c>
      <c r="O2115" s="14"/>
      <c r="P2115" s="6">
        <v>41350.620682870373</v>
      </c>
      <c r="Q2115" s="15" t="s">
        <v>7208</v>
      </c>
      <c r="R2115" s="17" t="s">
        <v>7209</v>
      </c>
      <c r="S2115" s="11"/>
      <c r="T2115" s="11"/>
      <c r="U2115" s="10" t="str">
        <f>HYPERLINK("https://pbs.twimg.com/profile_images/812944516210626560/Dx5baIl5.jpg","View")</f>
        <v>View</v>
      </c>
    </row>
    <row r="2116" spans="1:21" ht="71.400000000000006">
      <c r="A2116" s="6">
        <v>43438.957962962959</v>
      </c>
      <c r="B2116" s="7" t="str">
        <f>HYPERLINK("https://twitter.com/LolaMen70031143","@LolaMen70031143")</f>
        <v>@LolaMen70031143</v>
      </c>
      <c r="C2116" s="8" t="s">
        <v>7210</v>
      </c>
      <c r="D2116" s="9" t="s">
        <v>7211</v>
      </c>
      <c r="E2116" s="10" t="str">
        <f>HYPERLINK("https://twitter.com/LolaMen70031143/status/1070075139172249600","1070075139172249600")</f>
        <v>1070075139172249600</v>
      </c>
      <c r="F2116" s="16" t="s">
        <v>4921</v>
      </c>
      <c r="G2116" s="16" t="s">
        <v>4922</v>
      </c>
      <c r="H2116" s="11"/>
      <c r="I2116" s="12">
        <v>0</v>
      </c>
      <c r="J2116" s="12">
        <v>0</v>
      </c>
      <c r="K2116" s="13" t="str">
        <f t="shared" si="481"/>
        <v>Twitter for Android</v>
      </c>
      <c r="L2116" s="12">
        <v>243</v>
      </c>
      <c r="M2116" s="12">
        <v>495</v>
      </c>
      <c r="N2116" s="12">
        <v>0</v>
      </c>
      <c r="O2116" s="14"/>
      <c r="P2116" s="6">
        <v>43376.943715277783</v>
      </c>
      <c r="Q2116" s="11"/>
      <c r="R2116" s="17" t="s">
        <v>7212</v>
      </c>
      <c r="S2116" s="11"/>
      <c r="T2116" s="11"/>
      <c r="U2116" s="10" t="str">
        <f>HYPERLINK("https://pbs.twimg.com/profile_images/1071421833692499969/-UDKbWgn.jpg","View")</f>
        <v>View</v>
      </c>
    </row>
    <row r="2117" spans="1:21" ht="30.6">
      <c r="A2117" s="6">
        <v>43438.95789351852</v>
      </c>
      <c r="B2117" s="7" t="str">
        <f>HYPERLINK("https://twitter.com/gustinv1","@gustinv1")</f>
        <v>@gustinv1</v>
      </c>
      <c r="C2117" s="8" t="s">
        <v>7213</v>
      </c>
      <c r="D2117" s="9" t="s">
        <v>7214</v>
      </c>
      <c r="E2117" s="10" t="str">
        <f>HYPERLINK("https://twitter.com/gustinv1/status/1070075112496513024","1070075112496513024")</f>
        <v>1070075112496513024</v>
      </c>
      <c r="F2117" s="11"/>
      <c r="G2117" s="11"/>
      <c r="H2117" s="11"/>
      <c r="I2117" s="12">
        <v>0</v>
      </c>
      <c r="J2117" s="12">
        <v>0</v>
      </c>
      <c r="K2117" s="13" t="str">
        <f t="shared" si="481"/>
        <v>Twitter for Android</v>
      </c>
      <c r="L2117" s="12">
        <v>44</v>
      </c>
      <c r="M2117" s="12">
        <v>105</v>
      </c>
      <c r="N2117" s="12">
        <v>0</v>
      </c>
      <c r="O2117" s="14"/>
      <c r="P2117" s="6">
        <v>40858.933958333335</v>
      </c>
      <c r="Q2117" s="11"/>
      <c r="R2117" s="18"/>
      <c r="S2117" s="11"/>
      <c r="T2117" s="11"/>
      <c r="U2117" s="10" t="str">
        <f>HYPERLINK("https://pbs.twimg.com/profile_images/462608846541045760/jjzGZ3z2.jpeg","View")</f>
        <v>View</v>
      </c>
    </row>
    <row r="2118" spans="1:21" ht="40.799999999999997">
      <c r="A2118" s="6">
        <v>43438.95413194444</v>
      </c>
      <c r="B2118" s="7" t="str">
        <f>HYPERLINK("https://twitter.com/JuanManuelLacr1","@JuanManuelLacr1")</f>
        <v>@JuanManuelLacr1</v>
      </c>
      <c r="C2118" s="8" t="s">
        <v>7215</v>
      </c>
      <c r="D2118" s="9" t="s">
        <v>7216</v>
      </c>
      <c r="E2118" s="10" t="str">
        <f>HYPERLINK("https://twitter.com/JuanManuelLacr1/status/1070073749762916354","1070073749762916354")</f>
        <v>1070073749762916354</v>
      </c>
      <c r="F2118" s="11"/>
      <c r="G2118" s="11"/>
      <c r="H2118" s="11"/>
      <c r="I2118" s="12">
        <v>1</v>
      </c>
      <c r="J2118" s="12">
        <v>0</v>
      </c>
      <c r="K2118" s="13" t="str">
        <f t="shared" si="481"/>
        <v>Twitter for Android</v>
      </c>
      <c r="L2118" s="12">
        <v>1217</v>
      </c>
      <c r="M2118" s="12">
        <v>1373</v>
      </c>
      <c r="N2118" s="12">
        <v>48</v>
      </c>
      <c r="O2118" s="14"/>
      <c r="P2118" s="6">
        <v>42002.283738425926</v>
      </c>
      <c r="Q2118" s="11"/>
      <c r="R2118" s="18"/>
      <c r="S2118" s="11"/>
      <c r="T2118" s="11"/>
      <c r="U2118" s="10" t="str">
        <f>HYPERLINK("https://pbs.twimg.com/profile_images/1002282933410062336/rWgk9wtJ.jpg","View")</f>
        <v>View</v>
      </c>
    </row>
    <row r="2119" spans="1:21" ht="51">
      <c r="A2119" s="6">
        <v>43438.9534375</v>
      </c>
      <c r="B2119" s="7" t="str">
        <f>HYPERLINK("https://twitter.com/Como_yo_lo_veo","@Como_yo_lo_veo")</f>
        <v>@Como_yo_lo_veo</v>
      </c>
      <c r="C2119" s="8" t="s">
        <v>7217</v>
      </c>
      <c r="D2119" s="9" t="s">
        <v>7218</v>
      </c>
      <c r="E2119" s="10" t="str">
        <f>HYPERLINK("https://twitter.com/Como_yo_lo_veo/status/1070073497840435200","1070073497840435200")</f>
        <v>1070073497840435200</v>
      </c>
      <c r="F2119" s="11"/>
      <c r="G2119" s="11"/>
      <c r="H2119" s="11"/>
      <c r="I2119" s="12">
        <v>1</v>
      </c>
      <c r="J2119" s="12">
        <v>1</v>
      </c>
      <c r="K2119" s="13" t="str">
        <f t="shared" si="481"/>
        <v>Twitter for Android</v>
      </c>
      <c r="L2119" s="12">
        <v>26</v>
      </c>
      <c r="M2119" s="12">
        <v>96</v>
      </c>
      <c r="N2119" s="12">
        <v>1</v>
      </c>
      <c r="O2119" s="14"/>
      <c r="P2119" s="6">
        <v>43025.708009259259</v>
      </c>
      <c r="Q2119" s="11"/>
      <c r="R2119" s="17" t="s">
        <v>7219</v>
      </c>
      <c r="S2119" s="11"/>
      <c r="T2119" s="11"/>
      <c r="U2119" s="10" t="str">
        <f>HYPERLINK("https://pbs.twimg.com/profile_images/940949794960363521/pghKGG0D.jpg","View")</f>
        <v>View</v>
      </c>
    </row>
    <row r="2120" spans="1:21" ht="51">
      <c r="A2120" s="6">
        <v>43438.952499999999</v>
      </c>
      <c r="B2120" s="7" t="str">
        <f>HYPERLINK("https://twitter.com/flopezcabello","@flopezcabello")</f>
        <v>@flopezcabello</v>
      </c>
      <c r="C2120" s="8" t="s">
        <v>7220</v>
      </c>
      <c r="D2120" s="9" t="s">
        <v>7221</v>
      </c>
      <c r="E2120" s="10" t="str">
        <f>HYPERLINK("https://twitter.com/flopezcabello/status/1070073159796314112","1070073159796314112")</f>
        <v>1070073159796314112</v>
      </c>
      <c r="F2120" s="16" t="s">
        <v>7222</v>
      </c>
      <c r="G2120" s="11"/>
      <c r="H2120" s="11"/>
      <c r="I2120" s="12">
        <v>0</v>
      </c>
      <c r="J2120" s="12">
        <v>0</v>
      </c>
      <c r="K2120" s="13" t="str">
        <f>HYPERLINK("http://twitter.com/download/iphone","Twitter for iPhone")</f>
        <v>Twitter for iPhone</v>
      </c>
      <c r="L2120" s="12">
        <v>372</v>
      </c>
      <c r="M2120" s="12">
        <v>1151</v>
      </c>
      <c r="N2120" s="12">
        <v>5</v>
      </c>
      <c r="O2120" s="14"/>
      <c r="P2120" s="6">
        <v>42114.057372685187</v>
      </c>
      <c r="Q2120" s="11"/>
      <c r="R2120" s="17" t="s">
        <v>7223</v>
      </c>
      <c r="S2120" s="11"/>
      <c r="T2120" s="11"/>
      <c r="U2120" s="10" t="str">
        <f>HYPERLINK("https://pbs.twimg.com/profile_images/660100814216814592/L4rvGxNG.jpg","View")</f>
        <v>View</v>
      </c>
    </row>
    <row r="2121" spans="1:21" ht="40.799999999999997">
      <c r="A2121" s="6">
        <v>43438.951921296291</v>
      </c>
      <c r="B2121" s="7" t="str">
        <f>HYPERLINK("https://twitter.com/jaumeors","@jaumeors")</f>
        <v>@jaumeors</v>
      </c>
      <c r="C2121" s="8" t="s">
        <v>6581</v>
      </c>
      <c r="D2121" s="9" t="s">
        <v>7224</v>
      </c>
      <c r="E2121" s="10" t="str">
        <f>HYPERLINK("https://twitter.com/jaumeors/status/1070072946394390528","1070072946394390528")</f>
        <v>1070072946394390528</v>
      </c>
      <c r="F2121" s="11"/>
      <c r="G2121" s="16" t="s">
        <v>7225</v>
      </c>
      <c r="H2121" s="11"/>
      <c r="I2121" s="12">
        <v>1</v>
      </c>
      <c r="J2121" s="12">
        <v>1</v>
      </c>
      <c r="K2121" s="13" t="str">
        <f t="shared" ref="K2121:K2122" si="482">HYPERLINK("http://twitter.com/download/android","Twitter for Android")</f>
        <v>Twitter for Android</v>
      </c>
      <c r="L2121" s="12">
        <v>2352</v>
      </c>
      <c r="M2121" s="12">
        <v>1760</v>
      </c>
      <c r="N2121" s="12">
        <v>35</v>
      </c>
      <c r="O2121" s="14"/>
      <c r="P2121" s="6">
        <v>40804.792037037041</v>
      </c>
      <c r="Q2121" s="15" t="s">
        <v>986</v>
      </c>
      <c r="R2121" s="17" t="s">
        <v>6583</v>
      </c>
      <c r="S2121" s="11"/>
      <c r="T2121" s="11"/>
      <c r="U2121" s="10" t="str">
        <f>HYPERLINK("https://pbs.twimg.com/profile_images/1070856399289225217/TWix4zbV.jpg","View")</f>
        <v>View</v>
      </c>
    </row>
    <row r="2122" spans="1:21" ht="30.6">
      <c r="A2122" s="6">
        <v>43438.951157407406</v>
      </c>
      <c r="B2122" s="7" t="str">
        <f>HYPERLINK("https://twitter.com/callarucs","@callarucs")</f>
        <v>@callarucs</v>
      </c>
      <c r="C2122" s="8" t="s">
        <v>7226</v>
      </c>
      <c r="D2122" s="9" t="s">
        <v>7227</v>
      </c>
      <c r="E2122" s="10" t="str">
        <f>HYPERLINK("https://twitter.com/callarucs/status/1070072673340919810","1070072673340919810")</f>
        <v>1070072673340919810</v>
      </c>
      <c r="F2122" s="16" t="s">
        <v>1579</v>
      </c>
      <c r="G2122" s="11"/>
      <c r="H2122" s="11"/>
      <c r="I2122" s="12">
        <v>0</v>
      </c>
      <c r="J2122" s="12">
        <v>0</v>
      </c>
      <c r="K2122" s="13" t="str">
        <f t="shared" si="482"/>
        <v>Twitter for Android</v>
      </c>
      <c r="L2122" s="12">
        <v>275</v>
      </c>
      <c r="M2122" s="12">
        <v>234</v>
      </c>
      <c r="N2122" s="12">
        <v>1</v>
      </c>
      <c r="O2122" s="14"/>
      <c r="P2122" s="6">
        <v>43135.854456018518</v>
      </c>
      <c r="Q2122" s="11"/>
      <c r="R2122" s="17" t="s">
        <v>7228</v>
      </c>
      <c r="S2122" s="11"/>
      <c r="T2122" s="11"/>
      <c r="U2122" s="10" t="str">
        <f>HYPERLINK("https://pbs.twimg.com/profile_images/991771381959462913/2c6QN46C.jpg","View")</f>
        <v>View</v>
      </c>
    </row>
    <row r="2123" spans="1:21" ht="51">
      <c r="A2123" s="6">
        <v>43438.951053240744</v>
      </c>
      <c r="B2123" s="7" t="str">
        <f>HYPERLINK("https://twitter.com/jemayfe","@jemayfe")</f>
        <v>@jemayfe</v>
      </c>
      <c r="C2123" s="8" t="s">
        <v>7229</v>
      </c>
      <c r="D2123" s="9" t="s">
        <v>7230</v>
      </c>
      <c r="E2123" s="10" t="str">
        <f>HYPERLINK("https://twitter.com/jemayfe/status/1070072633423745025","1070072633423745025")</f>
        <v>1070072633423745025</v>
      </c>
      <c r="F2123" s="16" t="s">
        <v>7231</v>
      </c>
      <c r="G2123" s="11"/>
      <c r="H2123" s="11"/>
      <c r="I2123" s="12">
        <v>5</v>
      </c>
      <c r="J2123" s="12">
        <v>16</v>
      </c>
      <c r="K2123" s="13" t="str">
        <f>HYPERLINK("http://twitter.com","Twitter Web Client")</f>
        <v>Twitter Web Client</v>
      </c>
      <c r="L2123" s="12">
        <v>4701</v>
      </c>
      <c r="M2123" s="12">
        <v>3893</v>
      </c>
      <c r="N2123" s="12">
        <v>8</v>
      </c>
      <c r="O2123" s="14"/>
      <c r="P2123" s="6">
        <v>42879.652638888889</v>
      </c>
      <c r="Q2123" s="15" t="s">
        <v>1371</v>
      </c>
      <c r="R2123" s="17" t="s">
        <v>7232</v>
      </c>
      <c r="S2123" s="11"/>
      <c r="T2123" s="11"/>
      <c r="U2123" s="10" t="str">
        <f>HYPERLINK("https://pbs.twimg.com/profile_images/1071414101115588609/EBkgqTyu.jpg","View")</f>
        <v>View</v>
      </c>
    </row>
    <row r="2124" spans="1:21" ht="40.799999999999997">
      <c r="A2124" s="6">
        <v>43438.950416666667</v>
      </c>
      <c r="B2124" s="7" t="str">
        <f>HYPERLINK("https://twitter.com/masanchezvargas","@masanchezvargas")</f>
        <v>@masanchezvargas</v>
      </c>
      <c r="C2124" s="8" t="s">
        <v>7233</v>
      </c>
      <c r="D2124" s="9" t="s">
        <v>7234</v>
      </c>
      <c r="E2124" s="10" t="str">
        <f>HYPERLINK("https://twitter.com/masanchezvargas/status/1070072403089350657","1070072403089350657")</f>
        <v>1070072403089350657</v>
      </c>
      <c r="F2124" s="16" t="s">
        <v>1568</v>
      </c>
      <c r="G2124" s="11"/>
      <c r="H2124" s="11"/>
      <c r="I2124" s="12">
        <v>0</v>
      </c>
      <c r="J2124" s="12">
        <v>1</v>
      </c>
      <c r="K2124" s="13" t="str">
        <f>HYPERLINK("http://twitter.com/download/android","Twitter for Android")</f>
        <v>Twitter for Android</v>
      </c>
      <c r="L2124" s="12">
        <v>212</v>
      </c>
      <c r="M2124" s="12">
        <v>513</v>
      </c>
      <c r="N2124" s="12">
        <v>5</v>
      </c>
      <c r="O2124" s="14"/>
      <c r="P2124" s="6">
        <v>42485.908356481479</v>
      </c>
      <c r="Q2124" s="15" t="s">
        <v>7235</v>
      </c>
      <c r="R2124" s="17" t="s">
        <v>7236</v>
      </c>
      <c r="S2124" s="16" t="s">
        <v>7237</v>
      </c>
      <c r="T2124" s="11"/>
      <c r="U2124" s="10" t="str">
        <f>HYPERLINK("https://pbs.twimg.com/profile_images/994688934239227904/kGPvc4Ho.jpg","View")</f>
        <v>View</v>
      </c>
    </row>
    <row r="2125" spans="1:21" ht="51">
      <c r="A2125" s="6">
        <v>43438.95012731482</v>
      </c>
      <c r="B2125" s="7" t="str">
        <f>HYPERLINK("https://twitter.com/Amadeus_o_no","@Amadeus_o_no")</f>
        <v>@Amadeus_o_no</v>
      </c>
      <c r="C2125" s="8" t="s">
        <v>7238</v>
      </c>
      <c r="D2125" s="9" t="s">
        <v>7239</v>
      </c>
      <c r="E2125" s="10" t="str">
        <f>HYPERLINK("https://twitter.com/Amadeus_o_no/status/1070072297447440384","1070072297447440384")</f>
        <v>1070072297447440384</v>
      </c>
      <c r="F2125" s="11"/>
      <c r="G2125" s="11"/>
      <c r="H2125" s="11"/>
      <c r="I2125" s="12">
        <v>0</v>
      </c>
      <c r="J2125" s="12">
        <v>0</v>
      </c>
      <c r="K2125" s="13" t="str">
        <f>HYPERLINK("http://twitter.com/download/iphone","Twitter for iPhone")</f>
        <v>Twitter for iPhone</v>
      </c>
      <c r="L2125" s="12">
        <v>56</v>
      </c>
      <c r="M2125" s="12">
        <v>130</v>
      </c>
      <c r="N2125" s="12">
        <v>0</v>
      </c>
      <c r="O2125" s="14"/>
      <c r="P2125" s="6">
        <v>43115.779988425929</v>
      </c>
      <c r="Q2125" s="11"/>
      <c r="R2125" s="17" t="s">
        <v>7240</v>
      </c>
      <c r="S2125" s="11"/>
      <c r="T2125" s="11"/>
      <c r="U2125" s="10" t="str">
        <f>HYPERLINK("https://pbs.twimg.com/profile_images/952961951482642433/qEp6aJIT.jpg","View")</f>
        <v>View</v>
      </c>
    </row>
    <row r="2126" spans="1:21" ht="61.2">
      <c r="A2126" s="6">
        <v>43438.949340277773</v>
      </c>
      <c r="B2126" s="7" t="str">
        <f>HYPERLINK("https://twitter.com/EDUARDOLEOPOL17","@EDUARDOLEOPOL17")</f>
        <v>@EDUARDOLEOPOL17</v>
      </c>
      <c r="C2126" s="8" t="s">
        <v>7241</v>
      </c>
      <c r="D2126" s="9" t="s">
        <v>7242</v>
      </c>
      <c r="E2126" s="10" t="str">
        <f>HYPERLINK("https://twitter.com/EDUARDOLEOPOL17/status/1070072014231228418","1070072014231228418")</f>
        <v>1070072014231228418</v>
      </c>
      <c r="F2126" s="16" t="s">
        <v>7243</v>
      </c>
      <c r="G2126" s="11"/>
      <c r="H2126" s="11"/>
      <c r="I2126" s="12">
        <v>0</v>
      </c>
      <c r="J2126" s="12">
        <v>0</v>
      </c>
      <c r="K2126" s="13" t="str">
        <f>HYPERLINK("http://twitter.com","Twitter Web Client")</f>
        <v>Twitter Web Client</v>
      </c>
      <c r="L2126" s="12">
        <v>418</v>
      </c>
      <c r="M2126" s="12">
        <v>420</v>
      </c>
      <c r="N2126" s="12">
        <v>2</v>
      </c>
      <c r="O2126" s="14"/>
      <c r="P2126" s="6">
        <v>43288.097662037035</v>
      </c>
      <c r="Q2126" s="15" t="s">
        <v>712</v>
      </c>
      <c r="R2126" s="18"/>
      <c r="S2126" s="11"/>
      <c r="T2126" s="11"/>
      <c r="U2126" s="10" t="str">
        <f>HYPERLINK("https://pbs.twimg.com/profile_images/1034197770616352768/aEVoRqKT.jpg","View")</f>
        <v>View</v>
      </c>
    </row>
    <row r="2127" spans="1:21" ht="61.2">
      <c r="A2127" s="6">
        <v>43438.948715277773</v>
      </c>
      <c r="B2127" s="7" t="str">
        <f>HYPERLINK("https://twitter.com/NBS399","@NBS399")</f>
        <v>@NBS399</v>
      </c>
      <c r="C2127" s="8" t="s">
        <v>7244</v>
      </c>
      <c r="D2127" s="9" t="s">
        <v>7245</v>
      </c>
      <c r="E2127" s="10" t="str">
        <f>HYPERLINK("https://twitter.com/NBS399/status/1070071787629752321","1070071787629752321")</f>
        <v>1070071787629752321</v>
      </c>
      <c r="F2127" s="15" t="s">
        <v>7051</v>
      </c>
      <c r="G2127" s="11"/>
      <c r="H2127" s="11"/>
      <c r="I2127" s="12">
        <v>0</v>
      </c>
      <c r="J2127" s="12">
        <v>0</v>
      </c>
      <c r="K2127" s="13" t="str">
        <f>HYPERLINK("http://twitter.com/download/android","Twitter for Android")</f>
        <v>Twitter for Android</v>
      </c>
      <c r="L2127" s="12">
        <v>597</v>
      </c>
      <c r="M2127" s="12">
        <v>489</v>
      </c>
      <c r="N2127" s="12">
        <v>4</v>
      </c>
      <c r="O2127" s="14"/>
      <c r="P2127" s="6">
        <v>43081.756284722222</v>
      </c>
      <c r="Q2127" s="15" t="s">
        <v>7246</v>
      </c>
      <c r="R2127" s="17" t="s">
        <v>7247</v>
      </c>
      <c r="S2127" s="11"/>
      <c r="T2127" s="11"/>
      <c r="U2127" s="10" t="str">
        <f>HYPERLINK("https://pbs.twimg.com/profile_images/1020069159454019585/_OsoRA5J.jpg","View")</f>
        <v>View</v>
      </c>
    </row>
    <row r="2128" spans="1:21" ht="40.799999999999997">
      <c r="A2128" s="6">
        <v>43438.948298611111</v>
      </c>
      <c r="B2128" s="7" t="str">
        <f>HYPERLINK("https://twitter.com/Thebestofbcn1","@Thebestofbcn1")</f>
        <v>@Thebestofbcn1</v>
      </c>
      <c r="C2128" s="8" t="s">
        <v>7248</v>
      </c>
      <c r="D2128" s="9" t="s">
        <v>7249</v>
      </c>
      <c r="E2128" s="10" t="str">
        <f>HYPERLINK("https://twitter.com/Thebestofbcn1/status/1070071635871289345","1070071635871289345")</f>
        <v>1070071635871289345</v>
      </c>
      <c r="F2128" s="11"/>
      <c r="G2128" s="11"/>
      <c r="H2128" s="11"/>
      <c r="I2128" s="12">
        <v>0</v>
      </c>
      <c r="J2128" s="12">
        <v>0</v>
      </c>
      <c r="K2128" s="13" t="str">
        <f>HYPERLINK("https://mobile.twitter.com","Twitter Lite")</f>
        <v>Twitter Lite</v>
      </c>
      <c r="L2128" s="12">
        <v>15</v>
      </c>
      <c r="M2128" s="12">
        <v>103</v>
      </c>
      <c r="N2128" s="12">
        <v>0</v>
      </c>
      <c r="O2128" s="14"/>
      <c r="P2128" s="6">
        <v>42383.427754629629</v>
      </c>
      <c r="Q2128" s="11"/>
      <c r="R2128" s="18"/>
      <c r="S2128" s="11"/>
      <c r="T2128" s="11"/>
      <c r="U2128" s="10" t="str">
        <f>HYPERLINK("https://pbs.twimg.com/profile_images/687613526718984192/q8vl4ctG.jpg","View")</f>
        <v>View</v>
      </c>
    </row>
    <row r="2129" spans="1:21" ht="40.799999999999997">
      <c r="A2129" s="6">
        <v>43438.947372685187</v>
      </c>
      <c r="B2129" s="7" t="str">
        <f>HYPERLINK("https://twitter.com/FSerranoCastro","@FSerranoCastro")</f>
        <v>@FSerranoCastro</v>
      </c>
      <c r="C2129" s="8" t="s">
        <v>7250</v>
      </c>
      <c r="D2129" s="9" t="s">
        <v>7251</v>
      </c>
      <c r="E2129" s="10" t="str">
        <f>HYPERLINK("https://twitter.com/FSerranoCastro/status/1070071299811274753","1070071299811274753")</f>
        <v>1070071299811274753</v>
      </c>
      <c r="F2129" s="11"/>
      <c r="G2129" s="11"/>
      <c r="H2129" s="11"/>
      <c r="I2129" s="12">
        <v>174</v>
      </c>
      <c r="J2129" s="12">
        <v>360</v>
      </c>
      <c r="K2129" s="13" t="str">
        <f>HYPERLINK("http://twitter.com","Twitter Web Client")</f>
        <v>Twitter Web Client</v>
      </c>
      <c r="L2129" s="12">
        <v>16092</v>
      </c>
      <c r="M2129" s="12">
        <v>2580</v>
      </c>
      <c r="N2129" s="12">
        <v>131</v>
      </c>
      <c r="O2129" s="14"/>
      <c r="P2129" s="6">
        <v>41368.572291666671</v>
      </c>
      <c r="Q2129" s="15" t="s">
        <v>7252</v>
      </c>
      <c r="R2129" s="17" t="s">
        <v>7253</v>
      </c>
      <c r="S2129" s="11"/>
      <c r="T2129" s="11"/>
      <c r="U2129" s="10" t="str">
        <f>HYPERLINK("https://pbs.twimg.com/profile_images/1061962485996118016/dvXqGQjc.jpg","View")</f>
        <v>View</v>
      </c>
    </row>
    <row r="2130" spans="1:21" ht="40.799999999999997">
      <c r="A2130" s="6">
        <v>43438.946597222224</v>
      </c>
      <c r="B2130" s="7" t="str">
        <f>HYPERLINK("https://twitter.com/vajejs","@vajejs")</f>
        <v>@vajejs</v>
      </c>
      <c r="C2130" s="8" t="s">
        <v>4624</v>
      </c>
      <c r="D2130" s="9" t="s">
        <v>7254</v>
      </c>
      <c r="E2130" s="10" t="str">
        <f>HYPERLINK("https://twitter.com/vajejs/status/1070071019627528193","1070071019627528193")</f>
        <v>1070071019627528193</v>
      </c>
      <c r="F2130" s="11"/>
      <c r="G2130" s="11"/>
      <c r="H2130" s="11"/>
      <c r="I2130" s="12">
        <v>0</v>
      </c>
      <c r="J2130" s="12">
        <v>1</v>
      </c>
      <c r="K2130" s="13" t="str">
        <f t="shared" ref="K2130:K2131" si="483">HYPERLINK("http://twitter.com/download/android","Twitter for Android")</f>
        <v>Twitter for Android</v>
      </c>
      <c r="L2130" s="12">
        <v>21</v>
      </c>
      <c r="M2130" s="12">
        <v>95</v>
      </c>
      <c r="N2130" s="12">
        <v>0</v>
      </c>
      <c r="O2130" s="14"/>
      <c r="P2130" s="6">
        <v>42986.545937499999</v>
      </c>
      <c r="Q2130" s="15" t="s">
        <v>531</v>
      </c>
      <c r="R2130" s="17" t="s">
        <v>4626</v>
      </c>
      <c r="S2130" s="11"/>
      <c r="T2130" s="11"/>
      <c r="U2130" s="10" t="str">
        <f>HYPERLINK("https://pbs.twimg.com/profile_images/1062373256362147841/ZeGEYnkl.jpg","View")</f>
        <v>View</v>
      </c>
    </row>
    <row r="2131" spans="1:21" ht="51">
      <c r="A2131" s="6">
        <v>43438.946412037039</v>
      </c>
      <c r="B2131" s="7" t="str">
        <f>HYPERLINK("https://twitter.com/Javierirureta","@Javierirureta")</f>
        <v>@Javierirureta</v>
      </c>
      <c r="C2131" s="8" t="s">
        <v>7255</v>
      </c>
      <c r="D2131" s="9" t="s">
        <v>7256</v>
      </c>
      <c r="E2131" s="10" t="str">
        <f>HYPERLINK("https://twitter.com/Javierirureta/status/1070070953114304512","1070070953114304512")</f>
        <v>1070070953114304512</v>
      </c>
      <c r="F2131" s="16" t="s">
        <v>1568</v>
      </c>
      <c r="G2131" s="11"/>
      <c r="H2131" s="11"/>
      <c r="I2131" s="12">
        <v>5</v>
      </c>
      <c r="J2131" s="12">
        <v>8</v>
      </c>
      <c r="K2131" s="13" t="str">
        <f t="shared" si="483"/>
        <v>Twitter for Android</v>
      </c>
      <c r="L2131" s="12">
        <v>417</v>
      </c>
      <c r="M2131" s="12">
        <v>395</v>
      </c>
      <c r="N2131" s="12">
        <v>20</v>
      </c>
      <c r="O2131" s="14"/>
      <c r="P2131" s="6">
        <v>40547.656782407408</v>
      </c>
      <c r="Q2131" s="11"/>
      <c r="R2131" s="17" t="s">
        <v>7257</v>
      </c>
      <c r="S2131" s="11"/>
      <c r="T2131" s="11"/>
      <c r="U2131" s="10" t="str">
        <f>HYPERLINK("https://pbs.twimg.com/profile_images/851328387956264961/8O5g3ztA.jpg","View")</f>
        <v>View</v>
      </c>
    </row>
    <row r="2132" spans="1:21" ht="20.399999999999999">
      <c r="A2132" s="6">
        <v>43438.946342592593</v>
      </c>
      <c r="B2132" s="7" t="str">
        <f>HYPERLINK("https://twitter.com/jemayfe","@jemayfe")</f>
        <v>@jemayfe</v>
      </c>
      <c r="C2132" s="8" t="s">
        <v>7229</v>
      </c>
      <c r="D2132" s="9" t="s">
        <v>7258</v>
      </c>
      <c r="E2132" s="10" t="str">
        <f>HYPERLINK("https://twitter.com/jemayfe/status/1070070927877160965","1070070927877160965")</f>
        <v>1070070927877160965</v>
      </c>
      <c r="F2132" s="11"/>
      <c r="G2132" s="11"/>
      <c r="H2132" s="11"/>
      <c r="I2132" s="12">
        <v>13</v>
      </c>
      <c r="J2132" s="12">
        <v>28</v>
      </c>
      <c r="K2132" s="13" t="str">
        <f>HYPERLINK("http://twitter.com","Twitter Web Client")</f>
        <v>Twitter Web Client</v>
      </c>
      <c r="L2132" s="12">
        <v>4701</v>
      </c>
      <c r="M2132" s="12">
        <v>3893</v>
      </c>
      <c r="N2132" s="12">
        <v>8</v>
      </c>
      <c r="O2132" s="14"/>
      <c r="P2132" s="6">
        <v>42879.652638888889</v>
      </c>
      <c r="Q2132" s="15" t="s">
        <v>1371</v>
      </c>
      <c r="R2132" s="17" t="s">
        <v>7232</v>
      </c>
      <c r="S2132" s="11"/>
      <c r="T2132" s="11"/>
      <c r="U2132" s="10" t="str">
        <f>HYPERLINK("https://pbs.twimg.com/profile_images/1071414101115588609/EBkgqTyu.jpg","View")</f>
        <v>View</v>
      </c>
    </row>
    <row r="2133" spans="1:21" ht="51">
      <c r="A2133" s="6">
        <v>43438.945752314816</v>
      </c>
      <c r="B2133" s="7" t="str">
        <f>HYPERLINK("https://twitter.com/HugoIbra10","@HugoIbra10")</f>
        <v>@HugoIbra10</v>
      </c>
      <c r="C2133" s="8" t="s">
        <v>7259</v>
      </c>
      <c r="D2133" s="9" t="s">
        <v>7260</v>
      </c>
      <c r="E2133" s="10" t="str">
        <f>HYPERLINK("https://twitter.com/HugoIbra10/status/1070070711371354112","1070070711371354112")</f>
        <v>1070070711371354112</v>
      </c>
      <c r="F2133" s="11"/>
      <c r="G2133" s="11"/>
      <c r="H2133" s="11"/>
      <c r="I2133" s="12">
        <v>0</v>
      </c>
      <c r="J2133" s="12">
        <v>0</v>
      </c>
      <c r="K2133" s="13" t="str">
        <f t="shared" ref="K2133:K2135" si="484">HYPERLINK("http://twitter.com/download/android","Twitter for Android")</f>
        <v>Twitter for Android</v>
      </c>
      <c r="L2133" s="12">
        <v>644</v>
      </c>
      <c r="M2133" s="12">
        <v>1848</v>
      </c>
      <c r="N2133" s="12">
        <v>8</v>
      </c>
      <c r="O2133" s="14"/>
      <c r="P2133" s="6">
        <v>41340.809039351851</v>
      </c>
      <c r="Q2133" s="15" t="s">
        <v>7261</v>
      </c>
      <c r="R2133" s="17" t="s">
        <v>7262</v>
      </c>
      <c r="S2133" s="16" t="s">
        <v>7263</v>
      </c>
      <c r="T2133" s="11"/>
      <c r="U2133" s="10" t="str">
        <f>HYPERLINK("https://pbs.twimg.com/profile_images/983377509403320320/OrEwRkw-.jpg","View")</f>
        <v>View</v>
      </c>
    </row>
    <row r="2134" spans="1:21" ht="40.799999999999997">
      <c r="A2134" s="6">
        <v>43438.944479166668</v>
      </c>
      <c r="B2134" s="7" t="str">
        <f>HYPERLINK("https://twitter.com/Ivan_Pietri","@Ivan_Pietri")</f>
        <v>@Ivan_Pietri</v>
      </c>
      <c r="C2134" s="8" t="s">
        <v>3509</v>
      </c>
      <c r="D2134" s="9" t="s">
        <v>7264</v>
      </c>
      <c r="E2134" s="10" t="str">
        <f>HYPERLINK("https://twitter.com/Ivan_Pietri/status/1070070249813405696","1070070249813405696")</f>
        <v>1070070249813405696</v>
      </c>
      <c r="F2134" s="11"/>
      <c r="G2134" s="11"/>
      <c r="H2134" s="11"/>
      <c r="I2134" s="12">
        <v>12</v>
      </c>
      <c r="J2134" s="12">
        <v>18</v>
      </c>
      <c r="K2134" s="13" t="str">
        <f t="shared" si="484"/>
        <v>Twitter for Android</v>
      </c>
      <c r="L2134" s="12">
        <v>33325</v>
      </c>
      <c r="M2134" s="12">
        <v>33251</v>
      </c>
      <c r="N2134" s="12">
        <v>119</v>
      </c>
      <c r="O2134" s="14"/>
      <c r="P2134" s="6">
        <v>41374.792569444442</v>
      </c>
      <c r="Q2134" s="15" t="s">
        <v>3513</v>
      </c>
      <c r="R2134" s="17" t="s">
        <v>3514</v>
      </c>
      <c r="S2134" s="16" t="s">
        <v>3515</v>
      </c>
      <c r="T2134" s="11"/>
      <c r="U2134" s="10" t="str">
        <f>HYPERLINK("https://pbs.twimg.com/profile_images/617459660602372096/5DOvWcMM.jpg","View")</f>
        <v>View</v>
      </c>
    </row>
    <row r="2135" spans="1:21" ht="51">
      <c r="A2135" s="6">
        <v>43438.944282407407</v>
      </c>
      <c r="B2135" s="7" t="str">
        <f>HYPERLINK("https://twitter.com/mecagoenfrodo","@mecagoenfrodo")</f>
        <v>@mecagoenfrodo</v>
      </c>
      <c r="C2135" s="8" t="s">
        <v>7265</v>
      </c>
      <c r="D2135" s="9" t="s">
        <v>7266</v>
      </c>
      <c r="E2135" s="10" t="str">
        <f>HYPERLINK("https://twitter.com/mecagoenfrodo/status/1070070181739880449","1070070181739880449")</f>
        <v>1070070181739880449</v>
      </c>
      <c r="F2135" s="11"/>
      <c r="G2135" s="11"/>
      <c r="H2135" s="11"/>
      <c r="I2135" s="12">
        <v>4</v>
      </c>
      <c r="J2135" s="12">
        <v>7</v>
      </c>
      <c r="K2135" s="13" t="str">
        <f t="shared" si="484"/>
        <v>Twitter for Android</v>
      </c>
      <c r="L2135" s="12">
        <v>120</v>
      </c>
      <c r="M2135" s="12">
        <v>538</v>
      </c>
      <c r="N2135" s="12">
        <v>4</v>
      </c>
      <c r="O2135" s="14"/>
      <c r="P2135" s="6">
        <v>40930.642835648148</v>
      </c>
      <c r="Q2135" s="15" t="s">
        <v>7267</v>
      </c>
      <c r="R2135" s="17" t="s">
        <v>7268</v>
      </c>
      <c r="S2135" s="16" t="s">
        <v>7269</v>
      </c>
      <c r="T2135" s="11"/>
      <c r="U2135" s="10" t="str">
        <f>HYPERLINK("https://pbs.twimg.com/profile_images/1048053219023360000/QJWKQ7T8.jpg","View")</f>
        <v>View</v>
      </c>
    </row>
    <row r="2136" spans="1:21" ht="61.2">
      <c r="A2136" s="6">
        <v>43438.94395833333</v>
      </c>
      <c r="B2136" s="7" t="str">
        <f>HYPERLINK("https://twitter.com/azukikiyo","@azukikiyo")</f>
        <v>@azukikiyo</v>
      </c>
      <c r="C2136" s="8" t="s">
        <v>7270</v>
      </c>
      <c r="D2136" s="9" t="s">
        <v>7271</v>
      </c>
      <c r="E2136" s="10" t="str">
        <f>HYPERLINK("https://twitter.com/azukikiyo/status/1070070063393374210","1070070063393374210")</f>
        <v>1070070063393374210</v>
      </c>
      <c r="F2136" s="11"/>
      <c r="G2136" s="11"/>
      <c r="H2136" s="11"/>
      <c r="I2136" s="12">
        <v>48</v>
      </c>
      <c r="J2136" s="12">
        <v>177</v>
      </c>
      <c r="K2136" s="13" t="str">
        <f>HYPERLINK("http://twitter.com","Twitter Web Client")</f>
        <v>Twitter Web Client</v>
      </c>
      <c r="L2136" s="12">
        <v>13522</v>
      </c>
      <c r="M2136" s="12">
        <v>13952</v>
      </c>
      <c r="N2136" s="12">
        <v>69</v>
      </c>
      <c r="O2136" s="14"/>
      <c r="P2136" s="6">
        <v>40154.67833333333</v>
      </c>
      <c r="Q2136" s="15" t="s">
        <v>7272</v>
      </c>
      <c r="R2136" s="17" t="s">
        <v>7273</v>
      </c>
      <c r="S2136" s="11"/>
      <c r="T2136" s="11"/>
      <c r="U2136" s="10" t="str">
        <f>HYPERLINK("https://pbs.twimg.com/profile_images/1041430015232143360/ybAwcldg.jpg","View")</f>
        <v>View</v>
      </c>
    </row>
    <row r="2137" spans="1:21" ht="51">
      <c r="A2137" s="6">
        <v>43438.942812499998</v>
      </c>
      <c r="B2137" s="7" t="str">
        <f>HYPERLINK("https://twitter.com/Ernesto_smria","@Ernesto_smria")</f>
        <v>@Ernesto_smria</v>
      </c>
      <c r="C2137" s="8" t="s">
        <v>370</v>
      </c>
      <c r="D2137" s="9" t="s">
        <v>7274</v>
      </c>
      <c r="E2137" s="10" t="str">
        <f>HYPERLINK("https://twitter.com/Ernesto_smria/status/1070069647393869826","1070069647393869826")</f>
        <v>1070069647393869826</v>
      </c>
      <c r="F2137" s="11"/>
      <c r="G2137" s="16" t="s">
        <v>4790</v>
      </c>
      <c r="H2137" s="11"/>
      <c r="I2137" s="12">
        <v>70</v>
      </c>
      <c r="J2137" s="12">
        <v>138</v>
      </c>
      <c r="K2137" s="13" t="str">
        <f>HYPERLINK("http://twitter.com/download/iphone","Twitter for iPhone")</f>
        <v>Twitter for iPhone</v>
      </c>
      <c r="L2137" s="12">
        <v>198</v>
      </c>
      <c r="M2137" s="12">
        <v>708</v>
      </c>
      <c r="N2137" s="12">
        <v>1</v>
      </c>
      <c r="O2137" s="14"/>
      <c r="P2137" s="6">
        <v>43176.754016203704</v>
      </c>
      <c r="Q2137" s="15" t="s">
        <v>157</v>
      </c>
      <c r="R2137" s="17" t="s">
        <v>373</v>
      </c>
      <c r="S2137" s="11"/>
      <c r="T2137" s="11"/>
      <c r="U2137" s="10" t="str">
        <f>HYPERLINK("https://pbs.twimg.com/profile_images/1059909338242969605/w7JpSEuq.jpg","View")</f>
        <v>View</v>
      </c>
    </row>
    <row r="2138" spans="1:21" ht="51">
      <c r="A2138" s="6">
        <v>43438.942372685182</v>
      </c>
      <c r="B2138" s="7" t="str">
        <f>HYPERLINK("https://twitter.com/alvpine","@alvpine")</f>
        <v>@alvpine</v>
      </c>
      <c r="C2138" s="8" t="s">
        <v>7275</v>
      </c>
      <c r="D2138" s="9" t="s">
        <v>7276</v>
      </c>
      <c r="E2138" s="10" t="str">
        <f>HYPERLINK("https://twitter.com/alvpine/status/1070069486768791552","1070069486768791552")</f>
        <v>1070069486768791552</v>
      </c>
      <c r="F2138" s="15" t="s">
        <v>7277</v>
      </c>
      <c r="G2138" s="11"/>
      <c r="H2138" s="11"/>
      <c r="I2138" s="12">
        <v>0</v>
      </c>
      <c r="J2138" s="12">
        <v>0</v>
      </c>
      <c r="K2138" s="13" t="str">
        <f t="shared" ref="K2138:K2140" si="485">HYPERLINK("http://twitter.com/download/android","Twitter for Android")</f>
        <v>Twitter for Android</v>
      </c>
      <c r="L2138" s="12">
        <v>170</v>
      </c>
      <c r="M2138" s="12">
        <v>356</v>
      </c>
      <c r="N2138" s="12">
        <v>9</v>
      </c>
      <c r="O2138" s="14"/>
      <c r="P2138" s="6">
        <v>40193.549687500003</v>
      </c>
      <c r="Q2138" s="11"/>
      <c r="R2138" s="18"/>
      <c r="S2138" s="11"/>
      <c r="T2138" s="11"/>
      <c r="U2138" s="10" t="str">
        <f>HYPERLINK("https://pbs.twimg.com/profile_images/483667682605404160/a_w9n_fq.jpeg","View")</f>
        <v>View</v>
      </c>
    </row>
    <row r="2139" spans="1:21" ht="51">
      <c r="A2139" s="6">
        <v>43438.94153935185</v>
      </c>
      <c r="B2139" s="7" t="str">
        <f>HYPERLINK("https://twitter.com/cazadorbrujas19","@cazadorbrujas19")</f>
        <v>@cazadorbrujas19</v>
      </c>
      <c r="C2139" s="8" t="s">
        <v>7278</v>
      </c>
      <c r="D2139" s="9" t="s">
        <v>7279</v>
      </c>
      <c r="E2139" s="10" t="str">
        <f>HYPERLINK("https://twitter.com/cazadorbrujas19/status/1070069184619560960","1070069184619560960")</f>
        <v>1070069184619560960</v>
      </c>
      <c r="F2139" s="11"/>
      <c r="G2139" s="11"/>
      <c r="H2139" s="11"/>
      <c r="I2139" s="12">
        <v>0</v>
      </c>
      <c r="J2139" s="12">
        <v>1</v>
      </c>
      <c r="K2139" s="13" t="str">
        <f t="shared" si="485"/>
        <v>Twitter for Android</v>
      </c>
      <c r="L2139" s="12">
        <v>103</v>
      </c>
      <c r="M2139" s="12">
        <v>248</v>
      </c>
      <c r="N2139" s="12">
        <v>2</v>
      </c>
      <c r="O2139" s="14"/>
      <c r="P2139" s="6">
        <v>41369.993437500001</v>
      </c>
      <c r="Q2139" s="11"/>
      <c r="R2139" s="17" t="s">
        <v>7280</v>
      </c>
      <c r="S2139" s="11"/>
      <c r="T2139" s="11"/>
      <c r="U2139" s="10" t="str">
        <f>HYPERLINK("https://pbs.twimg.com/profile_images/1055016739124248578/cU2oaOoP.jpg","View")</f>
        <v>View</v>
      </c>
    </row>
    <row r="2140" spans="1:21" ht="71.400000000000006">
      <c r="A2140" s="6">
        <v>43438.940798611111</v>
      </c>
      <c r="B2140" s="7" t="str">
        <f>HYPERLINK("https://twitter.com/Pozo_1969","@Pozo_1969")</f>
        <v>@Pozo_1969</v>
      </c>
      <c r="C2140" s="8" t="s">
        <v>7281</v>
      </c>
      <c r="D2140" s="9" t="s">
        <v>7282</v>
      </c>
      <c r="E2140" s="10" t="str">
        <f>HYPERLINK("https://twitter.com/Pozo_1969/status/1070068919187202050","1070068919187202050")</f>
        <v>1070068919187202050</v>
      </c>
      <c r="F2140" s="11"/>
      <c r="G2140" s="16" t="s">
        <v>7283</v>
      </c>
      <c r="H2140" s="11"/>
      <c r="I2140" s="12">
        <v>26</v>
      </c>
      <c r="J2140" s="12">
        <v>32</v>
      </c>
      <c r="K2140" s="13" t="str">
        <f t="shared" si="485"/>
        <v>Twitter for Android</v>
      </c>
      <c r="L2140" s="12">
        <v>2105</v>
      </c>
      <c r="M2140" s="12">
        <v>2137</v>
      </c>
      <c r="N2140" s="12">
        <v>40</v>
      </c>
      <c r="O2140" s="14"/>
      <c r="P2140" s="6">
        <v>40815.401643518519</v>
      </c>
      <c r="Q2140" s="11"/>
      <c r="R2140" s="17" t="s">
        <v>7284</v>
      </c>
      <c r="S2140" s="11"/>
      <c r="T2140" s="11"/>
      <c r="U2140" s="10" t="str">
        <f>HYPERLINK("https://pbs.twimg.com/profile_images/844561592603824128/WgXnX2H3.jpg","View")</f>
        <v>View</v>
      </c>
    </row>
    <row r="2141" spans="1:21" ht="30.6">
      <c r="A2141" s="6">
        <v>43438.940798611111</v>
      </c>
      <c r="B2141" s="7" t="str">
        <f>HYPERLINK("https://twitter.com/FuenteGuadalupe","@FuenteGuadalupe")</f>
        <v>@FuenteGuadalupe</v>
      </c>
      <c r="C2141" s="8" t="s">
        <v>7285</v>
      </c>
      <c r="D2141" s="9" t="s">
        <v>7286</v>
      </c>
      <c r="E2141" s="10" t="str">
        <f>HYPERLINK("https://twitter.com/FuenteGuadalupe/status/1070068918398697472","1070068918398697472")</f>
        <v>1070068918398697472</v>
      </c>
      <c r="F2141" s="11"/>
      <c r="G2141" s="16" t="s">
        <v>7287</v>
      </c>
      <c r="H2141" s="11"/>
      <c r="I2141" s="12">
        <v>1</v>
      </c>
      <c r="J2141" s="12">
        <v>0</v>
      </c>
      <c r="K2141" s="13" t="str">
        <f>HYPERLINK("http://twitter.com/download/iphone","Twitter for iPhone")</f>
        <v>Twitter for iPhone</v>
      </c>
      <c r="L2141" s="12">
        <v>670</v>
      </c>
      <c r="M2141" s="12">
        <v>816</v>
      </c>
      <c r="N2141" s="12">
        <v>7</v>
      </c>
      <c r="O2141" s="14"/>
      <c r="P2141" s="6">
        <v>40910.480312500003</v>
      </c>
      <c r="Q2141" s="15" t="s">
        <v>4432</v>
      </c>
      <c r="R2141" s="17" t="s">
        <v>7288</v>
      </c>
      <c r="S2141" s="11"/>
      <c r="T2141" s="11"/>
      <c r="U2141" s="10" t="str">
        <f>HYPERLINK("https://pbs.twimg.com/profile_images/913339547399938048/V5qHSpdA.jpg","View")</f>
        <v>View</v>
      </c>
    </row>
    <row r="2142" spans="1:21" ht="51">
      <c r="A2142" s="6">
        <v>43438.940104166672</v>
      </c>
      <c r="B2142" s="7" t="str">
        <f>HYPERLINK("https://twitter.com/Pedrokupa","@Pedrokupa")</f>
        <v>@Pedrokupa</v>
      </c>
      <c r="C2142" s="8" t="s">
        <v>1602</v>
      </c>
      <c r="D2142" s="9" t="s">
        <v>7289</v>
      </c>
      <c r="E2142" s="10" t="str">
        <f>HYPERLINK("https://twitter.com/Pedrokupa/status/1070068664223834112","1070068664223834112")</f>
        <v>1070068664223834112</v>
      </c>
      <c r="F2142" s="11"/>
      <c r="G2142" s="16" t="s">
        <v>7290</v>
      </c>
      <c r="H2142" s="11"/>
      <c r="I2142" s="12">
        <v>0</v>
      </c>
      <c r="J2142" s="12">
        <v>0</v>
      </c>
      <c r="K2142" s="13" t="str">
        <f>HYPERLINK("http://twitter.com","Twitter Web Client")</f>
        <v>Twitter Web Client</v>
      </c>
      <c r="L2142" s="12">
        <v>1134</v>
      </c>
      <c r="M2142" s="12">
        <v>204</v>
      </c>
      <c r="N2142" s="12">
        <v>11</v>
      </c>
      <c r="O2142" s="14"/>
      <c r="P2142" s="6">
        <v>41148.026273148149</v>
      </c>
      <c r="Q2142" s="15" t="s">
        <v>1604</v>
      </c>
      <c r="R2142" s="17" t="s">
        <v>1605</v>
      </c>
      <c r="S2142" s="11"/>
      <c r="T2142" s="11"/>
      <c r="U2142" s="10" t="str">
        <f>HYPERLINK("https://pbs.twimg.com/profile_images/1024057409839480832/LmBrp5MR.jpg","View")</f>
        <v>View</v>
      </c>
    </row>
    <row r="2143" spans="1:21" ht="112.2">
      <c r="A2143" s="6">
        <v>43438.939699074079</v>
      </c>
      <c r="B2143" s="7" t="str">
        <f>HYPERLINK("https://twitter.com/patricia_trix8","@patricia_trix8")</f>
        <v>@patricia_trix8</v>
      </c>
      <c r="C2143" s="8" t="s">
        <v>7291</v>
      </c>
      <c r="D2143" s="9" t="s">
        <v>7292</v>
      </c>
      <c r="E2143" s="10" t="str">
        <f>HYPERLINK("https://twitter.com/patricia_trix8/status/1070068520300503040","1070068520300503040")</f>
        <v>1070068520300503040</v>
      </c>
      <c r="F2143" s="16" t="s">
        <v>7293</v>
      </c>
      <c r="G2143" s="16" t="s">
        <v>7294</v>
      </c>
      <c r="H2143" s="11"/>
      <c r="I2143" s="12">
        <v>23</v>
      </c>
      <c r="J2143" s="12">
        <v>32</v>
      </c>
      <c r="K2143" s="13" t="str">
        <f>HYPERLINK("http://twitter.com/download/iphone","Twitter for iPhone")</f>
        <v>Twitter for iPhone</v>
      </c>
      <c r="L2143" s="12">
        <v>1719</v>
      </c>
      <c r="M2143" s="12">
        <v>2007</v>
      </c>
      <c r="N2143" s="12">
        <v>1</v>
      </c>
      <c r="O2143" s="14"/>
      <c r="P2143" s="6">
        <v>43279.446250000001</v>
      </c>
      <c r="Q2143" s="15" t="s">
        <v>1159</v>
      </c>
      <c r="R2143" s="17" t="s">
        <v>7295</v>
      </c>
      <c r="S2143" s="11"/>
      <c r="T2143" s="11"/>
      <c r="U2143" s="10" t="str">
        <f>HYPERLINK("https://pbs.twimg.com/profile_images/1069361901560311808/L8Et6AaH.jpg","View")</f>
        <v>View</v>
      </c>
    </row>
    <row r="2144" spans="1:21" ht="30.6">
      <c r="A2144" s="6">
        <v>43438.939699074079</v>
      </c>
      <c r="B2144" s="7" t="str">
        <f>HYPERLINK("https://twitter.com/zaragoza_marc","@zaragoza_marc")</f>
        <v>@zaragoza_marc</v>
      </c>
      <c r="C2144" s="8" t="s">
        <v>74</v>
      </c>
      <c r="D2144" s="9" t="s">
        <v>7296</v>
      </c>
      <c r="E2144" s="10" t="str">
        <f>HYPERLINK("https://twitter.com/zaragoza_marc/status/1070068520015286277","1070068520015286277")</f>
        <v>1070068520015286277</v>
      </c>
      <c r="F2144" s="11"/>
      <c r="G2144" s="11"/>
      <c r="H2144" s="11"/>
      <c r="I2144" s="12">
        <v>0</v>
      </c>
      <c r="J2144" s="12">
        <v>1</v>
      </c>
      <c r="K2144" s="13" t="str">
        <f t="shared" ref="K2144:K2145" si="486">HYPERLINK("http://twitter.com/download/android","Twitter for Android")</f>
        <v>Twitter for Android</v>
      </c>
      <c r="L2144" s="12">
        <v>24</v>
      </c>
      <c r="M2144" s="12">
        <v>90</v>
      </c>
      <c r="N2144" s="12">
        <v>1</v>
      </c>
      <c r="O2144" s="14"/>
      <c r="P2144" s="6">
        <v>43289.886238425926</v>
      </c>
      <c r="Q2144" s="15" t="s">
        <v>76</v>
      </c>
      <c r="R2144" s="18"/>
      <c r="S2144" s="11"/>
      <c r="T2144" s="11"/>
      <c r="U2144" s="10" t="str">
        <f>HYPERLINK("https://pbs.twimg.com/profile_images/1027146889362333696/Yo_b7Em2.jpg","View")</f>
        <v>View</v>
      </c>
    </row>
    <row r="2145" spans="1:21" ht="71.400000000000006">
      <c r="A2145" s="6">
        <v>43438.938703703709</v>
      </c>
      <c r="B2145" s="7" t="str">
        <f>HYPERLINK("https://twitter.com/luxvivar","@luxvivar")</f>
        <v>@luxvivar</v>
      </c>
      <c r="C2145" s="8" t="s">
        <v>7297</v>
      </c>
      <c r="D2145" s="9" t="s">
        <v>7298</v>
      </c>
      <c r="E2145" s="10" t="str">
        <f>HYPERLINK("https://twitter.com/luxvivar/status/1070068158147518464","1070068158147518464")</f>
        <v>1070068158147518464</v>
      </c>
      <c r="F2145" s="16" t="s">
        <v>43</v>
      </c>
      <c r="G2145" s="11"/>
      <c r="H2145" s="11"/>
      <c r="I2145" s="12">
        <v>0</v>
      </c>
      <c r="J2145" s="12">
        <v>0</v>
      </c>
      <c r="K2145" s="13" t="str">
        <f t="shared" si="486"/>
        <v>Twitter for Android</v>
      </c>
      <c r="L2145" s="12">
        <v>34</v>
      </c>
      <c r="M2145" s="12">
        <v>175</v>
      </c>
      <c r="N2145" s="12">
        <v>0</v>
      </c>
      <c r="O2145" s="14"/>
      <c r="P2145" s="6">
        <v>43437.926550925928</v>
      </c>
      <c r="Q2145" s="15" t="s">
        <v>2659</v>
      </c>
      <c r="R2145" s="17" t="s">
        <v>7299</v>
      </c>
      <c r="S2145" s="11"/>
      <c r="T2145" s="11"/>
      <c r="U2145" s="10" t="str">
        <f>HYPERLINK("https://pbs.twimg.com/profile_images/1069730646677950465/kCzqwnRx.jpg","View")</f>
        <v>View</v>
      </c>
    </row>
    <row r="2146" spans="1:21" ht="71.400000000000006">
      <c r="A2146" s="6">
        <v>43438.937916666662</v>
      </c>
      <c r="B2146" s="7" t="str">
        <f>HYPERLINK("https://twitter.com/Tonet_BCN","@Tonet_BCN")</f>
        <v>@Tonet_BCN</v>
      </c>
      <c r="C2146" s="8" t="s">
        <v>7300</v>
      </c>
      <c r="D2146" s="9" t="s">
        <v>7301</v>
      </c>
      <c r="E2146" s="10" t="str">
        <f>HYPERLINK("https://twitter.com/Tonet_BCN/status/1070067873115185157","1070067873115185157")</f>
        <v>1070067873115185157</v>
      </c>
      <c r="F2146" s="16" t="s">
        <v>7302</v>
      </c>
      <c r="G2146" s="11"/>
      <c r="H2146" s="11"/>
      <c r="I2146" s="12">
        <v>1</v>
      </c>
      <c r="J2146" s="12">
        <v>0</v>
      </c>
      <c r="K2146" s="13" t="str">
        <f>HYPERLINK("http://twitter.com/#!/download/ipad","Twitter for iPad")</f>
        <v>Twitter for iPad</v>
      </c>
      <c r="L2146" s="12">
        <v>162</v>
      </c>
      <c r="M2146" s="12">
        <v>148</v>
      </c>
      <c r="N2146" s="12">
        <v>4</v>
      </c>
      <c r="O2146" s="14"/>
      <c r="P2146" s="6">
        <v>41412.478391203702</v>
      </c>
      <c r="Q2146" s="15" t="s">
        <v>7303</v>
      </c>
      <c r="R2146" s="17" t="s">
        <v>7304</v>
      </c>
      <c r="S2146" s="11"/>
      <c r="T2146" s="11"/>
      <c r="U2146" s="10" t="str">
        <f>HYPERLINK("https://pbs.twimg.com/profile_images/910953467371454464/4lf21xDA.jpg","View")</f>
        <v>View</v>
      </c>
    </row>
    <row r="2147" spans="1:21" ht="51">
      <c r="A2147" s="6">
        <v>43438.937731481477</v>
      </c>
      <c r="B2147" s="7" t="str">
        <f>HYPERLINK("https://twitter.com/javihoyos","@javihoyos")</f>
        <v>@javihoyos</v>
      </c>
      <c r="C2147" s="8" t="s">
        <v>7305</v>
      </c>
      <c r="D2147" s="9" t="s">
        <v>7306</v>
      </c>
      <c r="E2147" s="10" t="str">
        <f>HYPERLINK("https://twitter.com/javihoyos/status/1070067807763742720","1070067807763742720")</f>
        <v>1070067807763742720</v>
      </c>
      <c r="F2147" s="11"/>
      <c r="G2147" s="16" t="s">
        <v>7307</v>
      </c>
      <c r="H2147" s="11"/>
      <c r="I2147" s="12">
        <v>25</v>
      </c>
      <c r="J2147" s="12">
        <v>114</v>
      </c>
      <c r="K2147" s="13" t="str">
        <f>HYPERLINK("http://twitter.com/download/iphone","Twitter for iPhone")</f>
        <v>Twitter for iPhone</v>
      </c>
      <c r="L2147" s="12">
        <v>17919</v>
      </c>
      <c r="M2147" s="12">
        <v>1991</v>
      </c>
      <c r="N2147" s="12">
        <v>107</v>
      </c>
      <c r="O2147" s="23" t="s">
        <v>89</v>
      </c>
      <c r="P2147" s="6">
        <v>40561.93173611111</v>
      </c>
      <c r="Q2147" s="15" t="s">
        <v>612</v>
      </c>
      <c r="R2147" s="17" t="s">
        <v>7308</v>
      </c>
      <c r="S2147" s="16" t="s">
        <v>7309</v>
      </c>
      <c r="T2147" s="11"/>
      <c r="U2147" s="10" t="str">
        <f>HYPERLINK("https://pbs.twimg.com/profile_images/906995434354298881/8cjdg8E6.jpg","View")</f>
        <v>View</v>
      </c>
    </row>
    <row r="2148" spans="1:21" ht="61.2">
      <c r="A2148" s="6">
        <v>43438.93751157407</v>
      </c>
      <c r="B2148" s="7" t="str">
        <f>HYPERLINK("https://twitter.com/IncorrectePolit","@IncorrectePolit")</f>
        <v>@IncorrectePolit</v>
      </c>
      <c r="C2148" s="8" t="s">
        <v>7310</v>
      </c>
      <c r="D2148" s="9" t="s">
        <v>7311</v>
      </c>
      <c r="E2148" s="10" t="str">
        <f>HYPERLINK("https://twitter.com/IncorrectePolit/status/1070067728134881280","1070067728134881280")</f>
        <v>1070067728134881280</v>
      </c>
      <c r="F2148" s="11"/>
      <c r="G2148" s="11"/>
      <c r="H2148" s="11"/>
      <c r="I2148" s="12">
        <v>0</v>
      </c>
      <c r="J2148" s="12">
        <v>0</v>
      </c>
      <c r="K2148" s="13" t="str">
        <f t="shared" ref="K2148:K2150" si="487">HYPERLINK("http://twitter.com/download/android","Twitter for Android")</f>
        <v>Twitter for Android</v>
      </c>
      <c r="L2148" s="12">
        <v>1018</v>
      </c>
      <c r="M2148" s="12">
        <v>2324</v>
      </c>
      <c r="N2148" s="12">
        <v>6</v>
      </c>
      <c r="O2148" s="14"/>
      <c r="P2148" s="6">
        <v>42439.762812500005</v>
      </c>
      <c r="Q2148" s="11"/>
      <c r="R2148" s="18"/>
      <c r="S2148" s="11"/>
      <c r="T2148" s="11"/>
      <c r="U2148" s="10" t="str">
        <f>HYPERLINK("https://pbs.twimg.com/profile_images/707989092928192512/4ILyhAei.jpg","View")</f>
        <v>View</v>
      </c>
    </row>
    <row r="2149" spans="1:21" ht="61.2">
      <c r="A2149" s="6">
        <v>43438.936469907407</v>
      </c>
      <c r="B2149" s="7" t="str">
        <f>HYPERLINK("https://twitter.com/respuestasvegan","@respuestasvegan")</f>
        <v>@respuestasvegan</v>
      </c>
      <c r="C2149" s="24" t="s">
        <v>7312</v>
      </c>
      <c r="D2149" s="9" t="s">
        <v>7313</v>
      </c>
      <c r="E2149" s="10" t="str">
        <f>HYPERLINK("https://twitter.com/respuestasvegan/status/1070067348466470912","1070067348466470912")</f>
        <v>1070067348466470912</v>
      </c>
      <c r="F2149" s="11"/>
      <c r="G2149" s="16" t="s">
        <v>7314</v>
      </c>
      <c r="H2149" s="11"/>
      <c r="I2149" s="12">
        <v>3</v>
      </c>
      <c r="J2149" s="12">
        <v>2</v>
      </c>
      <c r="K2149" s="13" t="str">
        <f t="shared" si="487"/>
        <v>Twitter for Android</v>
      </c>
      <c r="L2149" s="12">
        <v>12480</v>
      </c>
      <c r="M2149" s="12">
        <v>3203</v>
      </c>
      <c r="N2149" s="12">
        <v>187</v>
      </c>
      <c r="O2149" s="14"/>
      <c r="P2149" s="6">
        <v>40262.645173611112</v>
      </c>
      <c r="Q2149" s="15" t="s">
        <v>2875</v>
      </c>
      <c r="R2149" s="17" t="s">
        <v>7315</v>
      </c>
      <c r="S2149" s="16" t="s">
        <v>7316</v>
      </c>
      <c r="T2149" s="11"/>
      <c r="U2149" s="10" t="str">
        <f>HYPERLINK("https://pbs.twimg.com/profile_images/905969728472178690/6zB3OthD.jpg","View")</f>
        <v>View</v>
      </c>
    </row>
    <row r="2150" spans="1:21" ht="61.2">
      <c r="A2150" s="6">
        <v>43438.935555555552</v>
      </c>
      <c r="B2150" s="7" t="str">
        <f>HYPERLINK("https://twitter.com/IncorrectePolit","@IncorrectePolit")</f>
        <v>@IncorrectePolit</v>
      </c>
      <c r="C2150" s="8" t="s">
        <v>7310</v>
      </c>
      <c r="D2150" s="9" t="s">
        <v>7317</v>
      </c>
      <c r="E2150" s="10" t="str">
        <f>HYPERLINK("https://twitter.com/IncorrectePolit/status/1070067018127368193","1070067018127368193")</f>
        <v>1070067018127368193</v>
      </c>
      <c r="F2150" s="11"/>
      <c r="G2150" s="11"/>
      <c r="H2150" s="11"/>
      <c r="I2150" s="12">
        <v>0</v>
      </c>
      <c r="J2150" s="12">
        <v>0</v>
      </c>
      <c r="K2150" s="13" t="str">
        <f t="shared" si="487"/>
        <v>Twitter for Android</v>
      </c>
      <c r="L2150" s="12">
        <v>1018</v>
      </c>
      <c r="M2150" s="12">
        <v>2324</v>
      </c>
      <c r="N2150" s="12">
        <v>6</v>
      </c>
      <c r="O2150" s="14"/>
      <c r="P2150" s="6">
        <v>42439.762812500005</v>
      </c>
      <c r="Q2150" s="11"/>
      <c r="R2150" s="18"/>
      <c r="S2150" s="11"/>
      <c r="T2150" s="11"/>
      <c r="U2150" s="10" t="str">
        <f>HYPERLINK("https://pbs.twimg.com/profile_images/707989092928192512/4ILyhAei.jpg","View")</f>
        <v>View</v>
      </c>
    </row>
    <row r="2151" spans="1:21" ht="40.799999999999997">
      <c r="A2151" s="6">
        <v>43438.935057870374</v>
      </c>
      <c r="B2151" s="7" t="str">
        <f>HYPERLINK("https://twitter.com/vivabach68","@vivabach68")</f>
        <v>@vivabach68</v>
      </c>
      <c r="C2151" s="8" t="s">
        <v>2304</v>
      </c>
      <c r="D2151" s="9" t="s">
        <v>7318</v>
      </c>
      <c r="E2151" s="10" t="str">
        <f>HYPERLINK("https://twitter.com/vivabach68/status/1070066838002905093","1070066838002905093")</f>
        <v>1070066838002905093</v>
      </c>
      <c r="F2151" s="11"/>
      <c r="G2151" s="11"/>
      <c r="H2151" s="11"/>
      <c r="I2151" s="12">
        <v>0</v>
      </c>
      <c r="J2151" s="12">
        <v>0</v>
      </c>
      <c r="K2151" s="13" t="str">
        <f t="shared" ref="K2151:K2152" si="488">HYPERLINK("http://twitter.com","Twitter Web Client")</f>
        <v>Twitter Web Client</v>
      </c>
      <c r="L2151" s="12">
        <v>87</v>
      </c>
      <c r="M2151" s="12">
        <v>45</v>
      </c>
      <c r="N2151" s="12">
        <v>4</v>
      </c>
      <c r="O2151" s="14"/>
      <c r="P2151" s="6">
        <v>41282.010694444441</v>
      </c>
      <c r="Q2151" s="15" t="s">
        <v>2307</v>
      </c>
      <c r="R2151" s="17" t="s">
        <v>2308</v>
      </c>
      <c r="S2151" s="11"/>
      <c r="T2151" s="11"/>
      <c r="U2151" s="10" t="str">
        <f>HYPERLINK("https://pbs.twimg.com/profile_images/753275008168910848/HS6rkanl.jpg","View")</f>
        <v>View</v>
      </c>
    </row>
    <row r="2152" spans="1:21" ht="61.2">
      <c r="A2152" s="6">
        <v>43438.934490740736</v>
      </c>
      <c r="B2152" s="7" t="str">
        <f>HYPERLINK("https://twitter.com/Sayonara_Progre","@Sayonara_Progre")</f>
        <v>@Sayonara_Progre</v>
      </c>
      <c r="C2152" s="8" t="s">
        <v>7319</v>
      </c>
      <c r="D2152" s="9" t="s">
        <v>7320</v>
      </c>
      <c r="E2152" s="10" t="str">
        <f>HYPERLINK("https://twitter.com/Sayonara_Progre/status/1070066633564139521","1070066633564139521")</f>
        <v>1070066633564139521</v>
      </c>
      <c r="F2152" s="11"/>
      <c r="G2152" s="16" t="s">
        <v>7321</v>
      </c>
      <c r="H2152" s="11"/>
      <c r="I2152" s="12">
        <v>605</v>
      </c>
      <c r="J2152" s="12">
        <v>1106</v>
      </c>
      <c r="K2152" s="13" t="str">
        <f t="shared" si="488"/>
        <v>Twitter Web Client</v>
      </c>
      <c r="L2152" s="12">
        <v>1261</v>
      </c>
      <c r="M2152" s="12">
        <v>261</v>
      </c>
      <c r="N2152" s="12">
        <v>11</v>
      </c>
      <c r="O2152" s="14"/>
      <c r="P2152" s="6">
        <v>43046.720914351856</v>
      </c>
      <c r="Q2152" s="15" t="s">
        <v>7322</v>
      </c>
      <c r="R2152" s="17" t="s">
        <v>7323</v>
      </c>
      <c r="S2152" s="16" t="s">
        <v>7324</v>
      </c>
      <c r="T2152" s="11"/>
      <c r="U2152" s="10" t="str">
        <f>HYPERLINK("https://pbs.twimg.com/profile_images/964645589416857600/50NJBIFl.jpg","View")</f>
        <v>View</v>
      </c>
    </row>
    <row r="2153" spans="1:21" ht="51">
      <c r="A2153" s="6">
        <v>43438.934363425928</v>
      </c>
      <c r="B2153" s="7" t="str">
        <f>HYPERLINK("https://twitter.com/parru83","@parru83")</f>
        <v>@parru83</v>
      </c>
      <c r="C2153" s="8" t="s">
        <v>7325</v>
      </c>
      <c r="D2153" s="9" t="s">
        <v>7326</v>
      </c>
      <c r="E2153" s="10" t="str">
        <f>HYPERLINK("https://twitter.com/parru83/status/1070066585128370177","1070066585128370177")</f>
        <v>1070066585128370177</v>
      </c>
      <c r="F2153" s="16" t="s">
        <v>5850</v>
      </c>
      <c r="G2153" s="11"/>
      <c r="H2153" s="11"/>
      <c r="I2153" s="12">
        <v>0</v>
      </c>
      <c r="J2153" s="12">
        <v>0</v>
      </c>
      <c r="K2153" s="13" t="str">
        <f>HYPERLINK("http://twitter.com/download/iphone","Twitter for iPhone")</f>
        <v>Twitter for iPhone</v>
      </c>
      <c r="L2153" s="12">
        <v>75</v>
      </c>
      <c r="M2153" s="12">
        <v>111</v>
      </c>
      <c r="N2153" s="12">
        <v>0</v>
      </c>
      <c r="O2153" s="14"/>
      <c r="P2153" s="6">
        <v>42215.706296296295</v>
      </c>
      <c r="Q2153" s="11"/>
      <c r="R2153" s="18"/>
      <c r="S2153" s="11"/>
      <c r="T2153" s="11"/>
      <c r="U2153" s="10" t="str">
        <f>HYPERLINK("https://pbs.twimg.com/profile_images/922445361867784194/rnwai_Mp.jpg","View")</f>
        <v>View</v>
      </c>
    </row>
    <row r="2154" spans="1:21" ht="51">
      <c r="A2154" s="6">
        <v>43438.933055555557</v>
      </c>
      <c r="B2154" s="7" t="str">
        <f>HYPERLINK("https://twitter.com/estefania_campa","@estefania_campa")</f>
        <v>@estefania_campa</v>
      </c>
      <c r="C2154" s="8" t="s">
        <v>7327</v>
      </c>
      <c r="D2154" s="9" t="s">
        <v>7328</v>
      </c>
      <c r="E2154" s="10" t="str">
        <f>HYPERLINK("https://twitter.com/estefania_campa/status/1070066110794485761","1070066110794485761")</f>
        <v>1070066110794485761</v>
      </c>
      <c r="F2154" s="16" t="s">
        <v>7329</v>
      </c>
      <c r="G2154" s="11"/>
      <c r="H2154" s="11"/>
      <c r="I2154" s="12">
        <v>0</v>
      </c>
      <c r="J2154" s="12">
        <v>2</v>
      </c>
      <c r="K2154" s="13" t="str">
        <f t="shared" ref="K2154:K2155" si="489">HYPERLINK("http://twitter.com/download/android","Twitter for Android")</f>
        <v>Twitter for Android</v>
      </c>
      <c r="L2154" s="12">
        <v>69</v>
      </c>
      <c r="M2154" s="12">
        <v>283</v>
      </c>
      <c r="N2154" s="12">
        <v>1</v>
      </c>
      <c r="O2154" s="14"/>
      <c r="P2154" s="6">
        <v>43116.916122685187</v>
      </c>
      <c r="Q2154" s="15" t="s">
        <v>7330</v>
      </c>
      <c r="R2154" s="18"/>
      <c r="S2154" s="11"/>
      <c r="T2154" s="11"/>
      <c r="U2154" s="10" t="str">
        <f>HYPERLINK("https://pbs.twimg.com/profile_images/1054862943953784832/M4xyQtn5.jpg","View")</f>
        <v>View</v>
      </c>
    </row>
    <row r="2155" spans="1:21" ht="81.599999999999994">
      <c r="A2155" s="6">
        <v>43438.932928240742</v>
      </c>
      <c r="B2155" s="7" t="str">
        <f>HYPERLINK("https://twitter.com/dwachman","@dwachman")</f>
        <v>@dwachman</v>
      </c>
      <c r="C2155" s="8" t="s">
        <v>7331</v>
      </c>
      <c r="D2155" s="9" t="s">
        <v>7332</v>
      </c>
      <c r="E2155" s="10" t="str">
        <f>HYPERLINK("https://twitter.com/dwachman/status/1070066066733314048","1070066066733314048")</f>
        <v>1070066066733314048</v>
      </c>
      <c r="F2155" s="15" t="s">
        <v>7333</v>
      </c>
      <c r="G2155" s="11"/>
      <c r="H2155" s="11"/>
      <c r="I2155" s="12">
        <v>1</v>
      </c>
      <c r="J2155" s="12">
        <v>1</v>
      </c>
      <c r="K2155" s="13" t="str">
        <f t="shared" si="489"/>
        <v>Twitter for Android</v>
      </c>
      <c r="L2155" s="12">
        <v>320</v>
      </c>
      <c r="M2155" s="12">
        <v>358</v>
      </c>
      <c r="N2155" s="12">
        <v>29</v>
      </c>
      <c r="O2155" s="14"/>
      <c r="P2155" s="6">
        <v>40612.528229166666</v>
      </c>
      <c r="Q2155" s="15" t="s">
        <v>197</v>
      </c>
      <c r="R2155" s="17" t="s">
        <v>7334</v>
      </c>
      <c r="S2155" s="16" t="s">
        <v>7335</v>
      </c>
      <c r="T2155" s="11"/>
      <c r="U2155" s="10" t="str">
        <f>HYPERLINK("https://pbs.twimg.com/profile_images/664549882699628544/k7jNMQHO.jpg","View")</f>
        <v>View</v>
      </c>
    </row>
    <row r="2156" spans="1:21" ht="30.6">
      <c r="A2156" s="6">
        <v>43438.932824074072</v>
      </c>
      <c r="B2156" s="7" t="str">
        <f>HYPERLINK("https://twitter.com/OficialAtrio","@OficialAtrio")</f>
        <v>@OficialAtrio</v>
      </c>
      <c r="C2156" s="8" t="s">
        <v>7336</v>
      </c>
      <c r="D2156" s="9" t="s">
        <v>7337</v>
      </c>
      <c r="E2156" s="10" t="str">
        <f>HYPERLINK("https://twitter.com/OficialAtrio/status/1070066026786840576","1070066026786840576")</f>
        <v>1070066026786840576</v>
      </c>
      <c r="F2156" s="11"/>
      <c r="G2156" s="11"/>
      <c r="H2156" s="11"/>
      <c r="I2156" s="12">
        <v>0</v>
      </c>
      <c r="J2156" s="12">
        <v>0</v>
      </c>
      <c r="K2156" s="13" t="str">
        <f t="shared" ref="K2156:K2157" si="490">HYPERLINK("http://twitter.com","Twitter Web Client")</f>
        <v>Twitter Web Client</v>
      </c>
      <c r="L2156" s="12">
        <v>96</v>
      </c>
      <c r="M2156" s="12">
        <v>204</v>
      </c>
      <c r="N2156" s="12">
        <v>0</v>
      </c>
      <c r="O2156" s="14"/>
      <c r="P2156" s="6">
        <v>41453.82402777778</v>
      </c>
      <c r="Q2156" s="11"/>
      <c r="R2156" s="17" t="s">
        <v>7338</v>
      </c>
      <c r="S2156" s="11"/>
      <c r="T2156" s="11"/>
      <c r="U2156" s="10" t="str">
        <f>HYPERLINK("https://pbs.twimg.com/profile_images/1060272643402805248/uAY7u0x1.jpg","View")</f>
        <v>View</v>
      </c>
    </row>
    <row r="2157" spans="1:21" ht="40.799999999999997">
      <c r="A2157" s="6">
        <v>43438.931608796294</v>
      </c>
      <c r="B2157" s="7" t="str">
        <f>HYPERLINK("https://twitter.com/FernandoLuis437","@FernandoLuis437")</f>
        <v>@FernandoLuis437</v>
      </c>
      <c r="C2157" s="8" t="s">
        <v>7339</v>
      </c>
      <c r="D2157" s="9" t="s">
        <v>7340</v>
      </c>
      <c r="E2157" s="10" t="str">
        <f>HYPERLINK("https://twitter.com/FernandoLuis437/status/1070065587009785857","1070065587009785857")</f>
        <v>1070065587009785857</v>
      </c>
      <c r="F2157" s="11"/>
      <c r="G2157" s="11"/>
      <c r="H2157" s="11"/>
      <c r="I2157" s="12">
        <v>0</v>
      </c>
      <c r="J2157" s="12">
        <v>0</v>
      </c>
      <c r="K2157" s="13" t="str">
        <f t="shared" si="490"/>
        <v>Twitter Web Client</v>
      </c>
      <c r="L2157" s="12">
        <v>481</v>
      </c>
      <c r="M2157" s="12">
        <v>188</v>
      </c>
      <c r="N2157" s="12">
        <v>7</v>
      </c>
      <c r="O2157" s="14"/>
      <c r="P2157" s="6">
        <v>41504.353761574072</v>
      </c>
      <c r="Q2157" s="11"/>
      <c r="R2157" s="17" t="s">
        <v>7341</v>
      </c>
      <c r="S2157" s="11"/>
      <c r="T2157" s="11"/>
      <c r="U2157" s="10" t="str">
        <f>HYPERLINK("https://pbs.twimg.com/profile_images/1071077937229824000/-uTnuJTQ.jpg","View")</f>
        <v>View</v>
      </c>
    </row>
    <row r="2158" spans="1:21" ht="51">
      <c r="A2158" s="6">
        <v>43438.930601851855</v>
      </c>
      <c r="B2158" s="7" t="str">
        <f>HYPERLINK("https://twitter.com/JuanmadelaPoza","@JuanmadelaPoza")</f>
        <v>@JuanmadelaPoza</v>
      </c>
      <c r="C2158" s="8" t="s">
        <v>4489</v>
      </c>
      <c r="D2158" s="9" t="s">
        <v>7342</v>
      </c>
      <c r="E2158" s="10" t="str">
        <f>HYPERLINK("https://twitter.com/JuanmadelaPoza/status/1070065223204265985","1070065223204265985")</f>
        <v>1070065223204265985</v>
      </c>
      <c r="F2158" s="16" t="s">
        <v>7343</v>
      </c>
      <c r="G2158" s="11"/>
      <c r="H2158" s="11"/>
      <c r="I2158" s="12">
        <v>0</v>
      </c>
      <c r="J2158" s="12">
        <v>1</v>
      </c>
      <c r="K2158" s="13" t="str">
        <f t="shared" ref="K2158:K2160" si="491">HYPERLINK("http://twitter.com/download/android","Twitter for Android")</f>
        <v>Twitter for Android</v>
      </c>
      <c r="L2158" s="12">
        <v>1308</v>
      </c>
      <c r="M2158" s="12">
        <v>3087</v>
      </c>
      <c r="N2158" s="12">
        <v>7</v>
      </c>
      <c r="O2158" s="14"/>
      <c r="P2158" s="6">
        <v>41569.838287037041</v>
      </c>
      <c r="Q2158" s="15" t="s">
        <v>1815</v>
      </c>
      <c r="R2158" s="17" t="s">
        <v>4492</v>
      </c>
      <c r="S2158" s="11"/>
      <c r="T2158" s="11"/>
      <c r="U2158" s="10" t="str">
        <f>HYPERLINK("https://pbs.twimg.com/profile_images/955160476002017282/gjHnTsO7.jpg","View")</f>
        <v>View</v>
      </c>
    </row>
    <row r="2159" spans="1:21" ht="20.399999999999999">
      <c r="A2159" s="6">
        <v>43438.930231481485</v>
      </c>
      <c r="B2159" s="7" t="str">
        <f>HYPERLINK("https://twitter.com/metorno","@metorno")</f>
        <v>@metorno</v>
      </c>
      <c r="C2159" s="8" t="s">
        <v>7344</v>
      </c>
      <c r="D2159" s="9" t="s">
        <v>7345</v>
      </c>
      <c r="E2159" s="10" t="str">
        <f>HYPERLINK("https://twitter.com/metorno/status/1070065086562295811","1070065086562295811")</f>
        <v>1070065086562295811</v>
      </c>
      <c r="F2159" s="11"/>
      <c r="G2159" s="11"/>
      <c r="H2159" s="11"/>
      <c r="I2159" s="12">
        <v>0</v>
      </c>
      <c r="J2159" s="12">
        <v>0</v>
      </c>
      <c r="K2159" s="13" t="str">
        <f t="shared" si="491"/>
        <v>Twitter for Android</v>
      </c>
      <c r="L2159" s="12">
        <v>23</v>
      </c>
      <c r="M2159" s="12">
        <v>56</v>
      </c>
      <c r="N2159" s="12">
        <v>0</v>
      </c>
      <c r="O2159" s="14"/>
      <c r="P2159" s="6">
        <v>40736.451585648145</v>
      </c>
      <c r="Q2159" s="11"/>
      <c r="R2159" s="18"/>
      <c r="S2159" s="11"/>
      <c r="T2159" s="11"/>
      <c r="U2159" s="10" t="str">
        <f>HYPERLINK("https://pbs.twimg.com/profile_images/2897639395/bda7f425ffc4adff49056feb9476cb3a.jpeg","View")</f>
        <v>View</v>
      </c>
    </row>
    <row r="2160" spans="1:21" ht="51">
      <c r="A2160" s="6">
        <v>43438.929270833338</v>
      </c>
      <c r="B2160" s="7" t="str">
        <f>HYPERLINK("https://twitter.com/padreXigualdad","@padreXigualdad")</f>
        <v>@padreXigualdad</v>
      </c>
      <c r="C2160" s="8" t="s">
        <v>7346</v>
      </c>
      <c r="D2160" s="9" t="s">
        <v>7347</v>
      </c>
      <c r="E2160" s="10" t="str">
        <f>HYPERLINK("https://twitter.com/padreXigualdad/status/1070064739483615234","1070064739483615234")</f>
        <v>1070064739483615234</v>
      </c>
      <c r="F2160" s="11"/>
      <c r="G2160" s="11"/>
      <c r="H2160" s="11"/>
      <c r="I2160" s="12">
        <v>0</v>
      </c>
      <c r="J2160" s="12">
        <v>0</v>
      </c>
      <c r="K2160" s="13" t="str">
        <f t="shared" si="491"/>
        <v>Twitter for Android</v>
      </c>
      <c r="L2160" s="12">
        <v>1614</v>
      </c>
      <c r="M2160" s="12">
        <v>298</v>
      </c>
      <c r="N2160" s="12">
        <v>17</v>
      </c>
      <c r="O2160" s="14"/>
      <c r="P2160" s="6">
        <v>40680.668587962966</v>
      </c>
      <c r="Q2160" s="15" t="s">
        <v>612</v>
      </c>
      <c r="R2160" s="17" t="s">
        <v>7348</v>
      </c>
      <c r="S2160" s="16" t="s">
        <v>7349</v>
      </c>
      <c r="T2160" s="11"/>
      <c r="U2160" s="10" t="str">
        <f>HYPERLINK("https://pbs.twimg.com/profile_images/676469828086079488/XRS2jCnR.jpg","View")</f>
        <v>View</v>
      </c>
    </row>
    <row r="2161" spans="1:21" ht="51">
      <c r="A2161" s="6">
        <v>43438.928657407407</v>
      </c>
      <c r="B2161" s="7" t="str">
        <f>HYPERLINK("https://twitter.com/bitMomentum","@bitMomentum")</f>
        <v>@bitMomentum</v>
      </c>
      <c r="C2161" s="8" t="s">
        <v>82</v>
      </c>
      <c r="D2161" s="9" t="s">
        <v>7350</v>
      </c>
      <c r="E2161" s="10" t="str">
        <f>HYPERLINK("https://twitter.com/bitMomentum/status/1070064519509106699","1070064519509106699")</f>
        <v>1070064519509106699</v>
      </c>
      <c r="F2161" s="11"/>
      <c r="G2161" s="16" t="s">
        <v>7351</v>
      </c>
      <c r="H2161" s="11"/>
      <c r="I2161" s="12">
        <v>0</v>
      </c>
      <c r="J2161" s="12">
        <v>0</v>
      </c>
      <c r="K2161" s="13" t="str">
        <f>HYPERLINK("http://www.bitmomentum.com","bitMomentum Bot")</f>
        <v>bitMomentum Bot</v>
      </c>
      <c r="L2161" s="12">
        <v>10253</v>
      </c>
      <c r="M2161" s="12">
        <v>1059</v>
      </c>
      <c r="N2161" s="12">
        <v>263</v>
      </c>
      <c r="O2161" s="14"/>
      <c r="P2161" s="6">
        <v>41608.667511574073</v>
      </c>
      <c r="Q2161" s="11"/>
      <c r="R2161" s="17" t="s">
        <v>84</v>
      </c>
      <c r="S2161" s="16" t="s">
        <v>85</v>
      </c>
      <c r="T2161" s="11"/>
      <c r="U2161" s="10" t="str">
        <f>HYPERLINK("https://pbs.twimg.com/profile_images/378800000862185241/20ij2H3u.png","View")</f>
        <v>View</v>
      </c>
    </row>
    <row r="2162" spans="1:21" ht="61.2">
      <c r="A2162" s="6">
        <v>43438.928576388891</v>
      </c>
      <c r="B2162" s="7" t="str">
        <f>HYPERLINK("https://twitter.com/juanakasur","@juanakasur")</f>
        <v>@juanakasur</v>
      </c>
      <c r="C2162" s="8" t="s">
        <v>7352</v>
      </c>
      <c r="D2162" s="9" t="s">
        <v>7353</v>
      </c>
      <c r="E2162" s="10" t="str">
        <f>HYPERLINK("https://twitter.com/juanakasur/status/1070064490169991168","1070064490169991168")</f>
        <v>1070064490169991168</v>
      </c>
      <c r="F2162" s="15" t="s">
        <v>7051</v>
      </c>
      <c r="G2162" s="11"/>
      <c r="H2162" s="11"/>
      <c r="I2162" s="12">
        <v>0</v>
      </c>
      <c r="J2162" s="12">
        <v>0</v>
      </c>
      <c r="K2162" s="13" t="str">
        <f>HYPERLINK("http://twitter.com/download/android","Twitter for Android")</f>
        <v>Twitter for Android</v>
      </c>
      <c r="L2162" s="12">
        <v>1729</v>
      </c>
      <c r="M2162" s="12">
        <v>2201</v>
      </c>
      <c r="N2162" s="12">
        <v>24</v>
      </c>
      <c r="O2162" s="14"/>
      <c r="P2162" s="6">
        <v>41108.877337962964</v>
      </c>
      <c r="Q2162" s="15" t="s">
        <v>56</v>
      </c>
      <c r="R2162" s="17" t="s">
        <v>7354</v>
      </c>
      <c r="S2162" s="11"/>
      <c r="T2162" s="11"/>
      <c r="U2162" s="10" t="str">
        <f>HYPERLINK("https://pbs.twimg.com/profile_images/1063227432373760000/4KNa7BZT.jpg","View")</f>
        <v>View</v>
      </c>
    </row>
    <row r="2163" spans="1:21" ht="51">
      <c r="A2163" s="6">
        <v>43438.927951388891</v>
      </c>
      <c r="B2163" s="7" t="str">
        <f>HYPERLINK("https://twitter.com/bitMomentum","@bitMomentum")</f>
        <v>@bitMomentum</v>
      </c>
      <c r="C2163" s="8" t="s">
        <v>82</v>
      </c>
      <c r="D2163" s="9" t="s">
        <v>7355</v>
      </c>
      <c r="E2163" s="10" t="str">
        <f>HYPERLINK("https://twitter.com/bitMomentum/status/1070064262226288641","1070064262226288641")</f>
        <v>1070064262226288641</v>
      </c>
      <c r="F2163" s="11"/>
      <c r="G2163" s="16" t="s">
        <v>7356</v>
      </c>
      <c r="H2163" s="11"/>
      <c r="I2163" s="12">
        <v>0</v>
      </c>
      <c r="J2163" s="12">
        <v>0</v>
      </c>
      <c r="K2163" s="13" t="str">
        <f>HYPERLINK("http://www.bitmomentum.com","bitMomentum Bot")</f>
        <v>bitMomentum Bot</v>
      </c>
      <c r="L2163" s="12">
        <v>10253</v>
      </c>
      <c r="M2163" s="12">
        <v>1059</v>
      </c>
      <c r="N2163" s="12">
        <v>263</v>
      </c>
      <c r="O2163" s="14"/>
      <c r="P2163" s="6">
        <v>41608.667511574073</v>
      </c>
      <c r="Q2163" s="11"/>
      <c r="R2163" s="17" t="s">
        <v>84</v>
      </c>
      <c r="S2163" s="16" t="s">
        <v>85</v>
      </c>
      <c r="T2163" s="11"/>
      <c r="U2163" s="10" t="str">
        <f>HYPERLINK("https://pbs.twimg.com/profile_images/378800000862185241/20ij2H3u.png","View")</f>
        <v>View</v>
      </c>
    </row>
    <row r="2164" spans="1:21" ht="40.799999999999997">
      <c r="A2164" s="6">
        <v>43438.927453703705</v>
      </c>
      <c r="B2164" s="7" t="str">
        <f>HYPERLINK("https://twitter.com/IsabelPerez770","@IsabelPerez770")</f>
        <v>@IsabelPerez770</v>
      </c>
      <c r="C2164" s="8" t="s">
        <v>7357</v>
      </c>
      <c r="D2164" s="9" t="s">
        <v>7358</v>
      </c>
      <c r="E2164" s="10" t="str">
        <f>HYPERLINK("https://twitter.com/IsabelPerez770/status/1070064080604618752","1070064080604618752")</f>
        <v>1070064080604618752</v>
      </c>
      <c r="F2164" s="15" t="s">
        <v>7359</v>
      </c>
      <c r="G2164" s="16" t="s">
        <v>7360</v>
      </c>
      <c r="H2164" s="11"/>
      <c r="I2164" s="12">
        <v>0</v>
      </c>
      <c r="J2164" s="12">
        <v>4</v>
      </c>
      <c r="K2164" s="13" t="str">
        <f>HYPERLINK("https://mobile.twitter.com","Twitter Lite")</f>
        <v>Twitter Lite</v>
      </c>
      <c r="L2164" s="12">
        <v>2413</v>
      </c>
      <c r="M2164" s="12">
        <v>2715</v>
      </c>
      <c r="N2164" s="12">
        <v>42</v>
      </c>
      <c r="O2164" s="14"/>
      <c r="P2164" s="6">
        <v>40198.75880787037</v>
      </c>
      <c r="Q2164" s="15" t="s">
        <v>5773</v>
      </c>
      <c r="R2164" s="17" t="s">
        <v>7361</v>
      </c>
      <c r="S2164" s="16" t="s">
        <v>7362</v>
      </c>
      <c r="T2164" s="11"/>
      <c r="U2164" s="10" t="str">
        <f>HYPERLINK("https://pbs.twimg.com/profile_images/1064632833413656576/3P5r9qRz.jpg","View")</f>
        <v>View</v>
      </c>
    </row>
    <row r="2165" spans="1:21" ht="40.799999999999997">
      <c r="A2165" s="6">
        <v>43438.924432870372</v>
      </c>
      <c r="B2165" s="7" t="str">
        <f>HYPERLINK("https://twitter.com/juanlulacala","@juanlulacala")</f>
        <v>@juanlulacala</v>
      </c>
      <c r="C2165" s="8" t="s">
        <v>7363</v>
      </c>
      <c r="D2165" s="9" t="s">
        <v>7364</v>
      </c>
      <c r="E2165" s="10" t="str">
        <f>HYPERLINK("https://twitter.com/juanlulacala/status/1070062986780397568","1070062986780397568")</f>
        <v>1070062986780397568</v>
      </c>
      <c r="F2165" s="11"/>
      <c r="G2165" s="16" t="s">
        <v>7365</v>
      </c>
      <c r="H2165" s="11"/>
      <c r="I2165" s="12">
        <v>1</v>
      </c>
      <c r="J2165" s="12">
        <v>3</v>
      </c>
      <c r="K2165" s="13" t="str">
        <f>HYPERLINK("http://twitter.com/download/iphone","Twitter for iPhone")</f>
        <v>Twitter for iPhone</v>
      </c>
      <c r="L2165" s="12">
        <v>1257</v>
      </c>
      <c r="M2165" s="12">
        <v>1384</v>
      </c>
      <c r="N2165" s="12">
        <v>9</v>
      </c>
      <c r="O2165" s="14"/>
      <c r="P2165" s="6">
        <v>40649.68949074074</v>
      </c>
      <c r="Q2165" s="11"/>
      <c r="R2165" s="17" t="s">
        <v>7366</v>
      </c>
      <c r="S2165" s="11"/>
      <c r="T2165" s="11"/>
      <c r="U2165" s="10" t="str">
        <f>HYPERLINK("https://pbs.twimg.com/profile_images/2260838522/image.jpg","View")</f>
        <v>View</v>
      </c>
    </row>
    <row r="2166" spans="1:21" ht="30.6">
      <c r="A2166" s="6">
        <v>43438.923657407402</v>
      </c>
      <c r="B2166" s="7" t="str">
        <f>HYPERLINK("https://twitter.com/OberherrJMAA","@OberherrJMAA")</f>
        <v>@OberherrJMAA</v>
      </c>
      <c r="C2166" s="8" t="s">
        <v>7367</v>
      </c>
      <c r="D2166" s="9" t="s">
        <v>7368</v>
      </c>
      <c r="E2166" s="10" t="str">
        <f>HYPERLINK("https://twitter.com/OberherrJMAA/status/1070062705984368642","1070062705984368642")</f>
        <v>1070062705984368642</v>
      </c>
      <c r="F2166" s="11"/>
      <c r="G2166" s="16" t="s">
        <v>7369</v>
      </c>
      <c r="H2166" s="11"/>
      <c r="I2166" s="12">
        <v>0</v>
      </c>
      <c r="J2166" s="12">
        <v>0</v>
      </c>
      <c r="K2166" s="13" t="str">
        <f t="shared" ref="K2166:K2168" si="492">HYPERLINK("http://twitter.com","Twitter Web Client")</f>
        <v>Twitter Web Client</v>
      </c>
      <c r="L2166" s="12">
        <v>32</v>
      </c>
      <c r="M2166" s="12">
        <v>78</v>
      </c>
      <c r="N2166" s="12">
        <v>0</v>
      </c>
      <c r="O2166" s="14"/>
      <c r="P2166" s="6">
        <v>43396.705254629633</v>
      </c>
      <c r="Q2166" s="15" t="s">
        <v>7370</v>
      </c>
      <c r="R2166" s="17" t="s">
        <v>7371</v>
      </c>
      <c r="S2166" s="16" t="s">
        <v>7372</v>
      </c>
      <c r="T2166" s="11"/>
      <c r="U2166" s="10" t="str">
        <f>HYPERLINK("https://pbs.twimg.com/profile_images/1069642358785040386/HOpUrYG1.jpg","View")</f>
        <v>View</v>
      </c>
    </row>
    <row r="2167" spans="1:21" ht="61.2">
      <c r="A2167" s="6">
        <v>43438.921678240746</v>
      </c>
      <c r="B2167" s="7" t="str">
        <f>HYPERLINK("https://twitter.com/juansalgadoigu","@juansalgadoigu")</f>
        <v>@juansalgadoigu</v>
      </c>
      <c r="C2167" s="8" t="s">
        <v>7373</v>
      </c>
      <c r="D2167" s="9" t="s">
        <v>7374</v>
      </c>
      <c r="E2167" s="10" t="str">
        <f>HYPERLINK("https://twitter.com/juansalgadoigu/status/1070061989714673664","1070061989714673664")</f>
        <v>1070061989714673664</v>
      </c>
      <c r="F2167" s="11"/>
      <c r="G2167" s="16" t="s">
        <v>7375</v>
      </c>
      <c r="H2167" s="11"/>
      <c r="I2167" s="12">
        <v>0</v>
      </c>
      <c r="J2167" s="12">
        <v>1</v>
      </c>
      <c r="K2167" s="13" t="str">
        <f t="shared" si="492"/>
        <v>Twitter Web Client</v>
      </c>
      <c r="L2167" s="12">
        <v>1284</v>
      </c>
      <c r="M2167" s="12">
        <v>1538</v>
      </c>
      <c r="N2167" s="12">
        <v>4</v>
      </c>
      <c r="O2167" s="14"/>
      <c r="P2167" s="6">
        <v>42054.479398148149</v>
      </c>
      <c r="Q2167" s="15" t="s">
        <v>197</v>
      </c>
      <c r="R2167" s="17" t="s">
        <v>7376</v>
      </c>
      <c r="S2167" s="11"/>
      <c r="T2167" s="11"/>
      <c r="U2167" s="10" t="str">
        <f>HYPERLINK("https://pbs.twimg.com/profile_images/1069321744538918913/Xxm1Zx4_.jpg","View")</f>
        <v>View</v>
      </c>
    </row>
    <row r="2168" spans="1:21" ht="40.799999999999997">
      <c r="A2168" s="6">
        <v>43438.921030092592</v>
      </c>
      <c r="B2168" s="7" t="str">
        <f>HYPERLINK("https://twitter.com/juanjocamaraf","@juanjocamaraf")</f>
        <v>@juanjocamaraf</v>
      </c>
      <c r="C2168" s="8" t="s">
        <v>2115</v>
      </c>
      <c r="D2168" s="9" t="s">
        <v>7377</v>
      </c>
      <c r="E2168" s="10" t="str">
        <f>HYPERLINK("https://twitter.com/juanjocamaraf/status/1070061754045087744","1070061754045087744")</f>
        <v>1070061754045087744</v>
      </c>
      <c r="F2168" s="11"/>
      <c r="G2168" s="16" t="s">
        <v>7378</v>
      </c>
      <c r="H2168" s="11"/>
      <c r="I2168" s="12">
        <v>0</v>
      </c>
      <c r="J2168" s="12">
        <v>0</v>
      </c>
      <c r="K2168" s="13" t="str">
        <f t="shared" si="492"/>
        <v>Twitter Web Client</v>
      </c>
      <c r="L2168" s="12">
        <v>30</v>
      </c>
      <c r="M2168" s="12">
        <v>104</v>
      </c>
      <c r="N2168" s="12">
        <v>0</v>
      </c>
      <c r="O2168" s="14"/>
      <c r="P2168" s="6">
        <v>42112.382905092592</v>
      </c>
      <c r="Q2168" s="11"/>
      <c r="R2168" s="17" t="s">
        <v>2118</v>
      </c>
      <c r="S2168" s="11"/>
      <c r="T2168" s="11"/>
      <c r="U2168" s="10" t="str">
        <f>HYPERLINK("https://pbs.twimg.com/profile_images/1071175686054928385/T4VZ-KOX.jpg","View")</f>
        <v>View</v>
      </c>
    </row>
    <row r="2169" spans="1:21" ht="30.6">
      <c r="A2169" s="6">
        <v>43438.920995370368</v>
      </c>
      <c r="B2169" s="7" t="str">
        <f>HYPERLINK("https://twitter.com/mohasalem1904","@mohasalem1904")</f>
        <v>@mohasalem1904</v>
      </c>
      <c r="C2169" s="8" t="s">
        <v>7379</v>
      </c>
      <c r="D2169" s="9" t="s">
        <v>7380</v>
      </c>
      <c r="E2169" s="10" t="str">
        <f>HYPERLINK("https://twitter.com/mohasalem1904/status/1070061742678523907","1070061742678523907")</f>
        <v>1070061742678523907</v>
      </c>
      <c r="F2169" s="11"/>
      <c r="G2169" s="11"/>
      <c r="H2169" s="11"/>
      <c r="I2169" s="12">
        <v>0</v>
      </c>
      <c r="J2169" s="12">
        <v>1</v>
      </c>
      <c r="K2169" s="13" t="str">
        <f t="shared" ref="K2169:K2171" si="493">HYPERLINK("http://twitter.com/download/android","Twitter for Android")</f>
        <v>Twitter for Android</v>
      </c>
      <c r="L2169" s="12">
        <v>544</v>
      </c>
      <c r="M2169" s="12">
        <v>1082</v>
      </c>
      <c r="N2169" s="12">
        <v>4</v>
      </c>
      <c r="O2169" s="14"/>
      <c r="P2169" s="6">
        <v>40929.408368055556</v>
      </c>
      <c r="Q2169" s="11"/>
      <c r="R2169" s="17" t="s">
        <v>7381</v>
      </c>
      <c r="S2169" s="16" t="s">
        <v>7382</v>
      </c>
      <c r="T2169" s="11"/>
      <c r="U2169" s="10" t="str">
        <f>HYPERLINK("https://pbs.twimg.com/profile_images/987772382436831232/TaUI0OuJ.jpg","View")</f>
        <v>View</v>
      </c>
    </row>
    <row r="2170" spans="1:21" ht="81.599999999999994">
      <c r="A2170" s="6">
        <v>43438.920937499999</v>
      </c>
      <c r="B2170" s="7" t="str">
        <f>HYPERLINK("https://twitter.com/j_breda_gisbert","@j_breda_gisbert")</f>
        <v>@j_breda_gisbert</v>
      </c>
      <c r="C2170" s="8" t="s">
        <v>7383</v>
      </c>
      <c r="D2170" s="9" t="s">
        <v>7384</v>
      </c>
      <c r="E2170" s="10" t="str">
        <f>HYPERLINK("https://twitter.com/j_breda_gisbert/status/1070061720276738050","1070061720276738050")</f>
        <v>1070061720276738050</v>
      </c>
      <c r="F2170" s="15" t="s">
        <v>7051</v>
      </c>
      <c r="G2170" s="11"/>
      <c r="H2170" s="11"/>
      <c r="I2170" s="12">
        <v>0</v>
      </c>
      <c r="J2170" s="12">
        <v>0</v>
      </c>
      <c r="K2170" s="13" t="str">
        <f t="shared" si="493"/>
        <v>Twitter for Android</v>
      </c>
      <c r="L2170" s="12">
        <v>308</v>
      </c>
      <c r="M2170" s="12">
        <v>265</v>
      </c>
      <c r="N2170" s="12">
        <v>0</v>
      </c>
      <c r="O2170" s="14"/>
      <c r="P2170" s="6">
        <v>40697.997835648144</v>
      </c>
      <c r="Q2170" s="15" t="s">
        <v>1092</v>
      </c>
      <c r="R2170" s="18"/>
      <c r="S2170" s="11"/>
      <c r="T2170" s="11"/>
      <c r="U2170" s="10" t="str">
        <f>HYPERLINK("https://pbs.twimg.com/profile_images/804080367204519947/03dV0p6Z.jpg","View")</f>
        <v>View</v>
      </c>
    </row>
    <row r="2171" spans="1:21" ht="61.2">
      <c r="A2171" s="6">
        <v>43438.918993055559</v>
      </c>
      <c r="B2171" s="7" t="str">
        <f>HYPERLINK("https://twitter.com/Eastweck","@Eastweck")</f>
        <v>@Eastweck</v>
      </c>
      <c r="C2171" s="8" t="s">
        <v>4560</v>
      </c>
      <c r="D2171" s="9" t="s">
        <v>7385</v>
      </c>
      <c r="E2171" s="10" t="str">
        <f>HYPERLINK("https://twitter.com/Eastweck/status/1070061016917123073","1070061016917123073")</f>
        <v>1070061016917123073</v>
      </c>
      <c r="F2171" s="15" t="s">
        <v>7386</v>
      </c>
      <c r="G2171" s="11"/>
      <c r="H2171" s="11"/>
      <c r="I2171" s="12">
        <v>0</v>
      </c>
      <c r="J2171" s="12">
        <v>0</v>
      </c>
      <c r="K2171" s="13" t="str">
        <f t="shared" si="493"/>
        <v>Twitter for Android</v>
      </c>
      <c r="L2171" s="12">
        <v>330</v>
      </c>
      <c r="M2171" s="12">
        <v>603</v>
      </c>
      <c r="N2171" s="12">
        <v>0</v>
      </c>
      <c r="O2171" s="14"/>
      <c r="P2171" s="6">
        <v>41543.766562500001</v>
      </c>
      <c r="Q2171" s="11"/>
      <c r="R2171" s="17" t="s">
        <v>4563</v>
      </c>
      <c r="S2171" s="11"/>
      <c r="T2171" s="11"/>
      <c r="U2171" s="10" t="str">
        <f>HYPERLINK("https://pbs.twimg.com/profile_images/1034117481089122306/HCpteLgV.jpg","View")</f>
        <v>View</v>
      </c>
    </row>
    <row r="2172" spans="1:21" ht="51">
      <c r="A2172" s="6">
        <v>43438.91805555555</v>
      </c>
      <c r="B2172" s="7" t="str">
        <f t="shared" ref="B2172:B2173" si="494">HYPERLINK("https://twitter.com/bitMomentum","@bitMomentum")</f>
        <v>@bitMomentum</v>
      </c>
      <c r="C2172" s="8" t="s">
        <v>82</v>
      </c>
      <c r="D2172" s="9" t="s">
        <v>7387</v>
      </c>
      <c r="E2172" s="10" t="str">
        <f>HYPERLINK("https://twitter.com/bitMomentum/status/1070060674326384640","1070060674326384640")</f>
        <v>1070060674326384640</v>
      </c>
      <c r="F2172" s="11"/>
      <c r="G2172" s="11"/>
      <c r="H2172" s="11"/>
      <c r="I2172" s="12">
        <v>0</v>
      </c>
      <c r="J2172" s="12">
        <v>0</v>
      </c>
      <c r="K2172" s="13" t="str">
        <f t="shared" ref="K2172:K2173" si="495">HYPERLINK("http://www.bitmomentum.com","bitMomentum Bot")</f>
        <v>bitMomentum Bot</v>
      </c>
      <c r="L2172" s="12">
        <v>10253</v>
      </c>
      <c r="M2172" s="12">
        <v>1059</v>
      </c>
      <c r="N2172" s="12">
        <v>263</v>
      </c>
      <c r="O2172" s="14"/>
      <c r="P2172" s="6">
        <v>41608.667511574073</v>
      </c>
      <c r="Q2172" s="11"/>
      <c r="R2172" s="17" t="s">
        <v>84</v>
      </c>
      <c r="S2172" s="16" t="s">
        <v>85</v>
      </c>
      <c r="T2172" s="11"/>
      <c r="U2172" s="10" t="str">
        <f t="shared" ref="U2172:U2173" si="496">HYPERLINK("https://pbs.twimg.com/profile_images/378800000862185241/20ij2H3u.png","View")</f>
        <v>View</v>
      </c>
    </row>
    <row r="2173" spans="1:21" ht="51">
      <c r="A2173" s="6">
        <v>43438.917361111111</v>
      </c>
      <c r="B2173" s="7" t="str">
        <f t="shared" si="494"/>
        <v>@bitMomentum</v>
      </c>
      <c r="C2173" s="8" t="s">
        <v>82</v>
      </c>
      <c r="D2173" s="9" t="s">
        <v>7388</v>
      </c>
      <c r="E2173" s="10" t="str">
        <f>HYPERLINK("https://twitter.com/bitMomentum/status/1070060422714277891","1070060422714277891")</f>
        <v>1070060422714277891</v>
      </c>
      <c r="F2173" s="11"/>
      <c r="G2173" s="11"/>
      <c r="H2173" s="11"/>
      <c r="I2173" s="12">
        <v>0</v>
      </c>
      <c r="J2173" s="12">
        <v>0</v>
      </c>
      <c r="K2173" s="13" t="str">
        <f t="shared" si="495"/>
        <v>bitMomentum Bot</v>
      </c>
      <c r="L2173" s="12">
        <v>10253</v>
      </c>
      <c r="M2173" s="12">
        <v>1059</v>
      </c>
      <c r="N2173" s="12">
        <v>263</v>
      </c>
      <c r="O2173" s="14"/>
      <c r="P2173" s="6">
        <v>41608.667511574073</v>
      </c>
      <c r="Q2173" s="11"/>
      <c r="R2173" s="17" t="s">
        <v>84</v>
      </c>
      <c r="S2173" s="16" t="s">
        <v>85</v>
      </c>
      <c r="T2173" s="11"/>
      <c r="U2173" s="10" t="str">
        <f t="shared" si="496"/>
        <v>View</v>
      </c>
    </row>
    <row r="2174" spans="1:21" ht="20.399999999999999">
      <c r="A2174" s="6">
        <v>43438.916435185187</v>
      </c>
      <c r="B2174" s="7" t="str">
        <f>HYPERLINK("https://twitter.com/Evlex_","@Evlex_")</f>
        <v>@Evlex_</v>
      </c>
      <c r="C2174" s="8" t="s">
        <v>7389</v>
      </c>
      <c r="D2174" s="9" t="s">
        <v>7390</v>
      </c>
      <c r="E2174" s="10" t="str">
        <f>HYPERLINK("https://twitter.com/Evlex_/status/1070060089476833281","1070060089476833281")</f>
        <v>1070060089476833281</v>
      </c>
      <c r="F2174" s="15" t="s">
        <v>7391</v>
      </c>
      <c r="G2174" s="11"/>
      <c r="H2174" s="11"/>
      <c r="I2174" s="12">
        <v>0</v>
      </c>
      <c r="J2174" s="12">
        <v>0</v>
      </c>
      <c r="K2174" s="13" t="str">
        <f t="shared" ref="K2174:K2176" si="497">HYPERLINK("http://twitter.com/download/android","Twitter for Android")</f>
        <v>Twitter for Android</v>
      </c>
      <c r="L2174" s="12">
        <v>861</v>
      </c>
      <c r="M2174" s="12">
        <v>1608</v>
      </c>
      <c r="N2174" s="12">
        <v>31</v>
      </c>
      <c r="O2174" s="14"/>
      <c r="P2174" s="6">
        <v>40620.987395833334</v>
      </c>
      <c r="Q2174" s="15" t="s">
        <v>4432</v>
      </c>
      <c r="R2174" s="17" t="s">
        <v>7392</v>
      </c>
      <c r="S2174" s="16" t="s">
        <v>7393</v>
      </c>
      <c r="T2174" s="11"/>
      <c r="U2174" s="10" t="str">
        <f>HYPERLINK("https://pbs.twimg.com/profile_images/1038449176835776512/Thp0AuQI.jpg","View")</f>
        <v>View</v>
      </c>
    </row>
    <row r="2175" spans="1:21" ht="40.799999999999997">
      <c r="A2175" s="6">
        <v>43438.916099537033</v>
      </c>
      <c r="B2175" s="7" t="str">
        <f>HYPERLINK("https://twitter.com/PeleonChorizo","@PeleonChorizo")</f>
        <v>@PeleonChorizo</v>
      </c>
      <c r="C2175" s="8" t="s">
        <v>7394</v>
      </c>
      <c r="D2175" s="9" t="s">
        <v>7395</v>
      </c>
      <c r="E2175" s="10" t="str">
        <f>HYPERLINK("https://twitter.com/PeleonChorizo/status/1070059966646628352","1070059966646628352")</f>
        <v>1070059966646628352</v>
      </c>
      <c r="F2175" s="11"/>
      <c r="G2175" s="16" t="s">
        <v>7396</v>
      </c>
      <c r="H2175" s="11"/>
      <c r="I2175" s="12">
        <v>0</v>
      </c>
      <c r="J2175" s="12">
        <v>0</v>
      </c>
      <c r="K2175" s="13" t="str">
        <f t="shared" si="497"/>
        <v>Twitter for Android</v>
      </c>
      <c r="L2175" s="12">
        <v>3</v>
      </c>
      <c r="M2175" s="12">
        <v>78</v>
      </c>
      <c r="N2175" s="12">
        <v>0</v>
      </c>
      <c r="O2175" s="14"/>
      <c r="P2175" s="6">
        <v>43417.633414351847</v>
      </c>
      <c r="Q2175" s="15" t="s">
        <v>7397</v>
      </c>
      <c r="R2175" s="17" t="s">
        <v>7398</v>
      </c>
      <c r="S2175" s="16" t="s">
        <v>7399</v>
      </c>
      <c r="T2175" s="11"/>
      <c r="U2175" s="10" t="str">
        <f>HYPERLINK("https://pbs.twimg.com/profile_images/1062360638960422912/EyVg6vfJ.jpg","View")</f>
        <v>View</v>
      </c>
    </row>
    <row r="2176" spans="1:21" ht="40.799999999999997">
      <c r="A2176" s="6">
        <v>43438.914976851855</v>
      </c>
      <c r="B2176" s="7" t="str">
        <f>HYPERLINK("https://twitter.com/AlvaroCarrellan","@AlvaroCarrellan")</f>
        <v>@AlvaroCarrellan</v>
      </c>
      <c r="C2176" s="8" t="s">
        <v>7400</v>
      </c>
      <c r="D2176" s="9" t="s">
        <v>7401</v>
      </c>
      <c r="E2176" s="10" t="str">
        <f>HYPERLINK("https://twitter.com/AlvaroCarrellan/status/1070059561606881280","1070059561606881280")</f>
        <v>1070059561606881280</v>
      </c>
      <c r="F2176" s="11"/>
      <c r="G2176" s="11"/>
      <c r="H2176" s="11"/>
      <c r="I2176" s="12">
        <v>33</v>
      </c>
      <c r="J2176" s="12">
        <v>196</v>
      </c>
      <c r="K2176" s="13" t="str">
        <f t="shared" si="497"/>
        <v>Twitter for Android</v>
      </c>
      <c r="L2176" s="12">
        <v>39194</v>
      </c>
      <c r="M2176" s="12">
        <v>258</v>
      </c>
      <c r="N2176" s="12">
        <v>53</v>
      </c>
      <c r="O2176" s="23" t="s">
        <v>89</v>
      </c>
      <c r="P2176" s="6">
        <v>40720.528912037036</v>
      </c>
      <c r="Q2176" s="15" t="s">
        <v>56</v>
      </c>
      <c r="R2176" s="17" t="s">
        <v>7402</v>
      </c>
      <c r="S2176" s="16" t="s">
        <v>7403</v>
      </c>
      <c r="T2176" s="11"/>
      <c r="U2176" s="10" t="str">
        <f>HYPERLINK("https://pbs.twimg.com/profile_images/1053954112767832064/VBgh5JDb.jpg","View")</f>
        <v>View</v>
      </c>
    </row>
    <row r="2177" spans="1:21" ht="30.6">
      <c r="A2177" s="6">
        <v>43438.914583333331</v>
      </c>
      <c r="B2177" s="7" t="str">
        <f>HYPERLINK("https://twitter.com/COPE","@COPE")</f>
        <v>@COPE</v>
      </c>
      <c r="C2177" s="8" t="s">
        <v>1421</v>
      </c>
      <c r="D2177" s="9" t="s">
        <v>7404</v>
      </c>
      <c r="E2177" s="10" t="str">
        <f>HYPERLINK("https://twitter.com/COPE/status/1070059416769183749","1070059416769183749")</f>
        <v>1070059416769183749</v>
      </c>
      <c r="F2177" s="16" t="s">
        <v>7405</v>
      </c>
      <c r="G2177" s="11"/>
      <c r="H2177" s="11"/>
      <c r="I2177" s="12">
        <v>487</v>
      </c>
      <c r="J2177" s="12">
        <v>438</v>
      </c>
      <c r="K2177" s="13" t="str">
        <f>HYPERLINK("http://dogtrack.es","DogTrack_Oficial")</f>
        <v>DogTrack_Oficial</v>
      </c>
      <c r="L2177" s="12">
        <v>354194</v>
      </c>
      <c r="M2177" s="12">
        <v>150</v>
      </c>
      <c r="N2177" s="12">
        <v>3095</v>
      </c>
      <c r="O2177" s="23" t="s">
        <v>89</v>
      </c>
      <c r="P2177" s="6">
        <v>39381.538321759261</v>
      </c>
      <c r="Q2177" s="15" t="s">
        <v>185</v>
      </c>
      <c r="R2177" s="17" t="s">
        <v>1424</v>
      </c>
      <c r="S2177" s="16" t="s">
        <v>1425</v>
      </c>
      <c r="T2177" s="11"/>
      <c r="U2177" s="10" t="str">
        <f>HYPERLINK("https://pbs.twimg.com/profile_images/1063097716031533059/yAe1j-56.jpg","View")</f>
        <v>View</v>
      </c>
    </row>
    <row r="2178" spans="1:21" ht="61.2">
      <c r="A2178" s="6">
        <v>43438.91443287037</v>
      </c>
      <c r="B2178" s="7" t="str">
        <f>HYPERLINK("https://twitter.com/DogmaXCVl","@DogmaXCVl")</f>
        <v>@DogmaXCVl</v>
      </c>
      <c r="C2178" s="8" t="s">
        <v>7406</v>
      </c>
      <c r="D2178" s="9" t="s">
        <v>7407</v>
      </c>
      <c r="E2178" s="10" t="str">
        <f>HYPERLINK("https://twitter.com/DogmaXCVl/status/1070059362159394817","1070059362159394817")</f>
        <v>1070059362159394817</v>
      </c>
      <c r="F2178" s="11"/>
      <c r="G2178" s="11"/>
      <c r="H2178" s="11"/>
      <c r="I2178" s="12">
        <v>1</v>
      </c>
      <c r="J2178" s="12">
        <v>3</v>
      </c>
      <c r="K2178" s="13" t="str">
        <f>HYPERLINK("http://twitter.com","Twitter Web Client")</f>
        <v>Twitter Web Client</v>
      </c>
      <c r="L2178" s="12">
        <v>503</v>
      </c>
      <c r="M2178" s="12">
        <v>630</v>
      </c>
      <c r="N2178" s="12">
        <v>2</v>
      </c>
      <c r="O2178" s="14"/>
      <c r="P2178" s="6">
        <v>42681.947384259256</v>
      </c>
      <c r="Q2178" s="15" t="s">
        <v>185</v>
      </c>
      <c r="R2178" s="17" t="s">
        <v>7408</v>
      </c>
      <c r="S2178" s="11"/>
      <c r="T2178" s="11"/>
      <c r="U2178" s="10" t="str">
        <f>HYPERLINK("https://pbs.twimg.com/profile_images/795750731647160320/kF9AOKTJ.jpg","View")</f>
        <v>View</v>
      </c>
    </row>
    <row r="2179" spans="1:21" ht="40.799999999999997">
      <c r="A2179" s="6">
        <v>43438.914340277777</v>
      </c>
      <c r="B2179" s="7" t="str">
        <f>HYPERLINK("https://twitter.com/Vicente24Alm","@Vicente24Alm")</f>
        <v>@Vicente24Alm</v>
      </c>
      <c r="C2179" s="8" t="s">
        <v>7409</v>
      </c>
      <c r="D2179" s="9" t="s">
        <v>7410</v>
      </c>
      <c r="E2179" s="10" t="str">
        <f>HYPERLINK("https://twitter.com/Vicente24Alm/status/1070059329183719425","1070059329183719425")</f>
        <v>1070059329183719425</v>
      </c>
      <c r="F2179" s="11"/>
      <c r="G2179" s="16" t="s">
        <v>7411</v>
      </c>
      <c r="H2179" s="11"/>
      <c r="I2179" s="12">
        <v>0</v>
      </c>
      <c r="J2179" s="12">
        <v>3</v>
      </c>
      <c r="K2179" s="13" t="str">
        <f t="shared" ref="K2179:K2183" si="498">HYPERLINK("http://twitter.com/download/android","Twitter for Android")</f>
        <v>Twitter for Android</v>
      </c>
      <c r="L2179" s="12">
        <v>123</v>
      </c>
      <c r="M2179" s="12">
        <v>316</v>
      </c>
      <c r="N2179" s="12">
        <v>4</v>
      </c>
      <c r="O2179" s="14"/>
      <c r="P2179" s="6">
        <v>40189.740659722222</v>
      </c>
      <c r="Q2179" s="15" t="s">
        <v>7412</v>
      </c>
      <c r="R2179" s="17" t="s">
        <v>7413</v>
      </c>
      <c r="S2179" s="11"/>
      <c r="T2179" s="11"/>
      <c r="U2179" s="10" t="str">
        <f>HYPERLINK("https://pbs.twimg.com/profile_images/1006188599962996736/zoTGOrTK.jpg","View")</f>
        <v>View</v>
      </c>
    </row>
    <row r="2180" spans="1:21" ht="61.2">
      <c r="A2180" s="6">
        <v>43438.914108796293</v>
      </c>
      <c r="B2180" s="7" t="str">
        <f>HYPERLINK("https://twitter.com/fmartinave","@fmartinave")</f>
        <v>@fmartinave</v>
      </c>
      <c r="C2180" s="8" t="s">
        <v>7414</v>
      </c>
      <c r="D2180" s="9" t="s">
        <v>7415</v>
      </c>
      <c r="E2180" s="10" t="str">
        <f>HYPERLINK("https://twitter.com/fmartinave/status/1070059246329438209","1070059246329438209")</f>
        <v>1070059246329438209</v>
      </c>
      <c r="F2180" s="16" t="s">
        <v>7416</v>
      </c>
      <c r="G2180" s="16" t="s">
        <v>7417</v>
      </c>
      <c r="H2180" s="11"/>
      <c r="I2180" s="12">
        <v>1</v>
      </c>
      <c r="J2180" s="12">
        <v>1</v>
      </c>
      <c r="K2180" s="13" t="str">
        <f t="shared" si="498"/>
        <v>Twitter for Android</v>
      </c>
      <c r="L2180" s="12">
        <v>537</v>
      </c>
      <c r="M2180" s="12">
        <v>497</v>
      </c>
      <c r="N2180" s="12">
        <v>5</v>
      </c>
      <c r="O2180" s="14"/>
      <c r="P2180" s="6">
        <v>40203.561643518522</v>
      </c>
      <c r="Q2180" s="15" t="s">
        <v>197</v>
      </c>
      <c r="R2180" s="17" t="s">
        <v>7418</v>
      </c>
      <c r="S2180" s="11"/>
      <c r="T2180" s="11"/>
      <c r="U2180" s="10" t="str">
        <f>HYPERLINK("https://pbs.twimg.com/profile_images/838003469546057728/m6RZgurg.jpg","View")</f>
        <v>View</v>
      </c>
    </row>
    <row r="2181" spans="1:21" ht="20.399999999999999">
      <c r="A2181" s="6">
        <v>43438.912418981483</v>
      </c>
      <c r="B2181" s="7" t="str">
        <f>HYPERLINK("https://twitter.com/Andoni93012852","@Andoni93012852")</f>
        <v>@Andoni93012852</v>
      </c>
      <c r="C2181" s="8" t="s">
        <v>7419</v>
      </c>
      <c r="D2181" s="9" t="s">
        <v>7420</v>
      </c>
      <c r="E2181" s="10" t="str">
        <f>HYPERLINK("https://twitter.com/Andoni93012852/status/1070058631859720195","1070058631859720195")</f>
        <v>1070058631859720195</v>
      </c>
      <c r="F2181" s="16" t="s">
        <v>7421</v>
      </c>
      <c r="G2181" s="11"/>
      <c r="H2181" s="11"/>
      <c r="I2181" s="12">
        <v>1</v>
      </c>
      <c r="J2181" s="12">
        <v>0</v>
      </c>
      <c r="K2181" s="13" t="str">
        <f t="shared" si="498"/>
        <v>Twitter for Android</v>
      </c>
      <c r="L2181" s="12">
        <v>754</v>
      </c>
      <c r="M2181" s="12">
        <v>1649</v>
      </c>
      <c r="N2181" s="12">
        <v>2</v>
      </c>
      <c r="O2181" s="14"/>
      <c r="P2181" s="6">
        <v>43065.71575231482</v>
      </c>
      <c r="Q2181" s="15" t="s">
        <v>7422</v>
      </c>
      <c r="R2181" s="17" t="s">
        <v>7423</v>
      </c>
      <c r="S2181" s="11"/>
      <c r="T2181" s="11"/>
      <c r="U2181" s="10" t="str">
        <f>HYPERLINK("https://pbs.twimg.com/profile_images/1066259857194606593/w-BCYswJ.jpg","View")</f>
        <v>View</v>
      </c>
    </row>
    <row r="2182" spans="1:21" ht="51">
      <c r="A2182" s="6">
        <v>43438.912048611106</v>
      </c>
      <c r="B2182" s="7" t="str">
        <f>HYPERLINK("https://twitter.com/estelocantabro","@estelocantabro")</f>
        <v>@estelocantabro</v>
      </c>
      <c r="C2182" s="8" t="s">
        <v>1808</v>
      </c>
      <c r="D2182" s="9" t="s">
        <v>7424</v>
      </c>
      <c r="E2182" s="10" t="str">
        <f>HYPERLINK("https://twitter.com/estelocantabro/status/1070058500292775936","1070058500292775936")</f>
        <v>1070058500292775936</v>
      </c>
      <c r="F2182" s="11"/>
      <c r="G2182" s="16" t="s">
        <v>7425</v>
      </c>
      <c r="H2182" s="11"/>
      <c r="I2182" s="12">
        <v>0</v>
      </c>
      <c r="J2182" s="12">
        <v>1</v>
      </c>
      <c r="K2182" s="13" t="str">
        <f t="shared" si="498"/>
        <v>Twitter for Android</v>
      </c>
      <c r="L2182" s="12">
        <v>44</v>
      </c>
      <c r="M2182" s="12">
        <v>150</v>
      </c>
      <c r="N2182" s="12">
        <v>0</v>
      </c>
      <c r="O2182" s="14"/>
      <c r="P2182" s="6">
        <v>41865.851365740738</v>
      </c>
      <c r="Q2182" s="15" t="s">
        <v>612</v>
      </c>
      <c r="R2182" s="17" t="s">
        <v>1810</v>
      </c>
      <c r="S2182" s="11"/>
      <c r="T2182" s="11"/>
      <c r="U2182" s="10" t="str">
        <f>HYPERLINK("https://pbs.twimg.com/profile_images/1049196910865797120/3Le6Nh8a.jpg","View")</f>
        <v>View</v>
      </c>
    </row>
    <row r="2183" spans="1:21" ht="71.400000000000006">
      <c r="A2183" s="6">
        <v>43438.911678240736</v>
      </c>
      <c r="B2183" s="7" t="str">
        <f>HYPERLINK("https://twitter.com/MecoVox","@MecoVox")</f>
        <v>@MecoVox</v>
      </c>
      <c r="C2183" s="8" t="s">
        <v>7426</v>
      </c>
      <c r="D2183" s="9" t="s">
        <v>7427</v>
      </c>
      <c r="E2183" s="10" t="str">
        <f>HYPERLINK("https://twitter.com/MecoVox/status/1070058364397330432","1070058364397330432")</f>
        <v>1070058364397330432</v>
      </c>
      <c r="F2183" s="16" t="s">
        <v>5850</v>
      </c>
      <c r="G2183" s="11"/>
      <c r="H2183" s="11"/>
      <c r="I2183" s="12">
        <v>2</v>
      </c>
      <c r="J2183" s="12">
        <v>6</v>
      </c>
      <c r="K2183" s="13" t="str">
        <f t="shared" si="498"/>
        <v>Twitter for Android</v>
      </c>
      <c r="L2183" s="12">
        <v>167</v>
      </c>
      <c r="M2183" s="12">
        <v>214</v>
      </c>
      <c r="N2183" s="12">
        <v>0</v>
      </c>
      <c r="O2183" s="14"/>
      <c r="P2183" s="6">
        <v>43389.660636574074</v>
      </c>
      <c r="Q2183" s="15" t="s">
        <v>7428</v>
      </c>
      <c r="R2183" s="17" t="s">
        <v>7429</v>
      </c>
      <c r="S2183" s="16" t="s">
        <v>7430</v>
      </c>
      <c r="T2183" s="11"/>
      <c r="U2183" s="10" t="str">
        <f>HYPERLINK("https://pbs.twimg.com/profile_images/1052473713038426112/eJbX5DuC.jpg","View")</f>
        <v>View</v>
      </c>
    </row>
    <row r="2184" spans="1:21" ht="30.6">
      <c r="A2184" s="6">
        <v>43438.910995370374</v>
      </c>
      <c r="B2184" s="7" t="str">
        <f>HYPERLINK("https://twitter.com/Dramonator","@Dramonator")</f>
        <v>@Dramonator</v>
      </c>
      <c r="C2184" s="8" t="s">
        <v>7431</v>
      </c>
      <c r="D2184" s="9" t="s">
        <v>7432</v>
      </c>
      <c r="E2184" s="10" t="str">
        <f>HYPERLINK("https://twitter.com/Dramonator/status/1070058117713539072","1070058117713539072")</f>
        <v>1070058117713539072</v>
      </c>
      <c r="F2184" s="11"/>
      <c r="G2184" s="16" t="s">
        <v>7433</v>
      </c>
      <c r="H2184" s="11"/>
      <c r="I2184" s="12">
        <v>0</v>
      </c>
      <c r="J2184" s="12">
        <v>0</v>
      </c>
      <c r="K2184" s="13" t="str">
        <f>HYPERLINK("http://twitter.com/#!/download/ipad","Twitter for iPad")</f>
        <v>Twitter for iPad</v>
      </c>
      <c r="L2184" s="12">
        <v>699</v>
      </c>
      <c r="M2184" s="12">
        <v>726</v>
      </c>
      <c r="N2184" s="12">
        <v>31</v>
      </c>
      <c r="O2184" s="14"/>
      <c r="P2184" s="6">
        <v>40216.562662037039</v>
      </c>
      <c r="Q2184" s="11"/>
      <c r="R2184" s="17" t="s">
        <v>7434</v>
      </c>
      <c r="S2184" s="11"/>
      <c r="T2184" s="11"/>
      <c r="U2184" s="10" t="str">
        <f>HYPERLINK("https://pbs.twimg.com/profile_images/870285928748773376/x3o548WY.jpg","View")</f>
        <v>View</v>
      </c>
    </row>
    <row r="2185" spans="1:21" ht="40.799999999999997">
      <c r="A2185" s="6">
        <v>43438.910752314812</v>
      </c>
      <c r="B2185" s="7" t="str">
        <f>HYPERLINK("https://twitter.com/calderontoros","@calderontoros")</f>
        <v>@calderontoros</v>
      </c>
      <c r="C2185" s="8" t="s">
        <v>7435</v>
      </c>
      <c r="D2185" s="9" t="s">
        <v>7436</v>
      </c>
      <c r="E2185" s="10" t="str">
        <f>HYPERLINK("https://twitter.com/calderontoros/status/1070058027317907457","1070058027317907457")</f>
        <v>1070058027317907457</v>
      </c>
      <c r="F2185" s="16" t="s">
        <v>7437</v>
      </c>
      <c r="G2185" s="11"/>
      <c r="H2185" s="11"/>
      <c r="I2185" s="12">
        <v>0</v>
      </c>
      <c r="J2185" s="12">
        <v>0</v>
      </c>
      <c r="K2185" s="13" t="str">
        <f t="shared" ref="K2185:K2186" si="499">HYPERLINK("http://twitter.com","Twitter Web Client")</f>
        <v>Twitter Web Client</v>
      </c>
      <c r="L2185" s="12">
        <v>465</v>
      </c>
      <c r="M2185" s="12">
        <v>1004</v>
      </c>
      <c r="N2185" s="12">
        <v>1</v>
      </c>
      <c r="O2185" s="14"/>
      <c r="P2185" s="6">
        <v>43080.804560185185</v>
      </c>
      <c r="Q2185" s="15" t="s">
        <v>197</v>
      </c>
      <c r="R2185" s="17" t="s">
        <v>7438</v>
      </c>
      <c r="S2185" s="11"/>
      <c r="T2185" s="11"/>
      <c r="U2185" s="10" t="str">
        <f>HYPERLINK("https://pbs.twimg.com/profile_images/1027456695604273152/22W-5NyQ.jpg","View")</f>
        <v>View</v>
      </c>
    </row>
    <row r="2186" spans="1:21" ht="61.2">
      <c r="A2186" s="6">
        <v>43438.909907407404</v>
      </c>
      <c r="B2186" s="7" t="str">
        <f>HYPERLINK("https://twitter.com/Ferfersix","@Ferfersix")</f>
        <v>@Ferfersix</v>
      </c>
      <c r="C2186" s="8" t="s">
        <v>7439</v>
      </c>
      <c r="D2186" s="9" t="s">
        <v>7440</v>
      </c>
      <c r="E2186" s="10" t="str">
        <f>HYPERLINK("https://twitter.com/Ferfersix/status/1070057721729335296","1070057721729335296")</f>
        <v>1070057721729335296</v>
      </c>
      <c r="F2186" s="15" t="s">
        <v>7441</v>
      </c>
      <c r="G2186" s="11"/>
      <c r="H2186" s="11"/>
      <c r="I2186" s="12">
        <v>1</v>
      </c>
      <c r="J2186" s="12">
        <v>2</v>
      </c>
      <c r="K2186" s="13" t="str">
        <f t="shared" si="499"/>
        <v>Twitter Web Client</v>
      </c>
      <c r="L2186" s="12">
        <v>1062</v>
      </c>
      <c r="M2186" s="12">
        <v>738</v>
      </c>
      <c r="N2186" s="12">
        <v>15</v>
      </c>
      <c r="O2186" s="14"/>
      <c r="P2186" s="6">
        <v>40806.998043981483</v>
      </c>
      <c r="Q2186" s="15" t="s">
        <v>197</v>
      </c>
      <c r="R2186" s="17" t="s">
        <v>7442</v>
      </c>
      <c r="S2186" s="11"/>
      <c r="T2186" s="11"/>
      <c r="U2186" s="10" t="str">
        <f>HYPERLINK("https://pbs.twimg.com/profile_images/1007795936972730368/0s0N9SNN.jpg","View")</f>
        <v>View</v>
      </c>
    </row>
    <row r="2187" spans="1:21" ht="51">
      <c r="A2187" s="6">
        <v>43438.909803240742</v>
      </c>
      <c r="B2187" s="7" t="str">
        <f>HYPERLINK("https://twitter.com/DaniPintoB","@DaniPintoB")</f>
        <v>@DaniPintoB</v>
      </c>
      <c r="C2187" s="8" t="s">
        <v>7443</v>
      </c>
      <c r="D2187" s="9" t="s">
        <v>7444</v>
      </c>
      <c r="E2187" s="10" t="str">
        <f>HYPERLINK("https://twitter.com/DaniPintoB/status/1070057686409056257","1070057686409056257")</f>
        <v>1070057686409056257</v>
      </c>
      <c r="F2187" s="16" t="s">
        <v>6558</v>
      </c>
      <c r="G2187" s="11"/>
      <c r="H2187" s="11"/>
      <c r="I2187" s="12">
        <v>145</v>
      </c>
      <c r="J2187" s="12">
        <v>171</v>
      </c>
      <c r="K2187" s="13" t="str">
        <f>HYPERLINK("http://twitter.com/download/iphone","Twitter for iPhone")</f>
        <v>Twitter for iPhone</v>
      </c>
      <c r="L2187" s="12">
        <v>46352</v>
      </c>
      <c r="M2187" s="12">
        <v>32837</v>
      </c>
      <c r="N2187" s="12">
        <v>233</v>
      </c>
      <c r="O2187" s="14"/>
      <c r="P2187" s="6">
        <v>40300.900092592594</v>
      </c>
      <c r="Q2187" s="15" t="s">
        <v>7445</v>
      </c>
      <c r="R2187" s="17" t="s">
        <v>7446</v>
      </c>
      <c r="S2187" s="16" t="s">
        <v>7447</v>
      </c>
      <c r="T2187" s="11"/>
      <c r="U2187" s="10" t="str">
        <f>HYPERLINK("https://pbs.twimg.com/profile_images/1031594836867072002/UeabY149.jpg","View")</f>
        <v>View</v>
      </c>
    </row>
    <row r="2188" spans="1:21" ht="51">
      <c r="A2188" s="6">
        <v>43438.908634259264</v>
      </c>
      <c r="B2188" s="7" t="str">
        <f>HYPERLINK("https://twitter.com/rosa_torrens","@rosa_torrens")</f>
        <v>@rosa_torrens</v>
      </c>
      <c r="C2188" s="8" t="s">
        <v>7448</v>
      </c>
      <c r="D2188" s="9" t="s">
        <v>7449</v>
      </c>
      <c r="E2188" s="10" t="str">
        <f>HYPERLINK("https://twitter.com/rosa_torrens/status/1070057261610004482","1070057261610004482")</f>
        <v>1070057261610004482</v>
      </c>
      <c r="F2188" s="11"/>
      <c r="G2188" s="11"/>
      <c r="H2188" s="11"/>
      <c r="I2188" s="12">
        <v>0</v>
      </c>
      <c r="J2188" s="12">
        <v>0</v>
      </c>
      <c r="K2188" s="13" t="str">
        <f>HYPERLINK("http://twitter.com/download/android","Twitter for Android")</f>
        <v>Twitter for Android</v>
      </c>
      <c r="L2188" s="12">
        <v>217</v>
      </c>
      <c r="M2188" s="12">
        <v>326</v>
      </c>
      <c r="N2188" s="12">
        <v>0</v>
      </c>
      <c r="O2188" s="14"/>
      <c r="P2188" s="6">
        <v>42024.015833333338</v>
      </c>
      <c r="Q2188" s="15" t="s">
        <v>7450</v>
      </c>
      <c r="R2188" s="17" t="s">
        <v>7451</v>
      </c>
      <c r="S2188" s="11"/>
      <c r="T2188" s="11"/>
      <c r="U2188" s="10" t="str">
        <f>HYPERLINK("https://pbs.twimg.com/profile_images/756625912775467011/suSE-bp5.jpg","View")</f>
        <v>View</v>
      </c>
    </row>
    <row r="2189" spans="1:21" ht="40.799999999999997">
      <c r="A2189" s="6">
        <v>43438.90834490741</v>
      </c>
      <c r="B2189" s="7" t="str">
        <f>HYPERLINK("https://twitter.com/joigllaher","@joigllaher")</f>
        <v>@joigllaher</v>
      </c>
      <c r="C2189" s="8" t="s">
        <v>7452</v>
      </c>
      <c r="D2189" s="9" t="s">
        <v>7453</v>
      </c>
      <c r="E2189" s="10" t="str">
        <f>HYPERLINK("https://twitter.com/joigllaher/status/1070057157046009858","1070057157046009858")</f>
        <v>1070057157046009858</v>
      </c>
      <c r="F2189" s="15" t="s">
        <v>7454</v>
      </c>
      <c r="G2189" s="16" t="s">
        <v>7455</v>
      </c>
      <c r="H2189" s="11"/>
      <c r="I2189" s="12">
        <v>0</v>
      </c>
      <c r="J2189" s="12">
        <v>0</v>
      </c>
      <c r="K2189" s="13" t="str">
        <f>HYPERLINK("http://twitter.com","Twitter Web Client")</f>
        <v>Twitter Web Client</v>
      </c>
      <c r="L2189" s="12">
        <v>195</v>
      </c>
      <c r="M2189" s="12">
        <v>340</v>
      </c>
      <c r="N2189" s="12">
        <v>0</v>
      </c>
      <c r="O2189" s="14"/>
      <c r="P2189" s="6">
        <v>41354.522939814815</v>
      </c>
      <c r="Q2189" s="11"/>
      <c r="R2189" s="17" t="s">
        <v>7456</v>
      </c>
      <c r="S2189" s="11"/>
      <c r="T2189" s="11"/>
      <c r="U2189" s="10" t="str">
        <f>HYPERLINK("https://pbs.twimg.com/profile_images/344513261579634750/7b63dbcf808959ef9715f344b9f53ce6.jpeg","View")</f>
        <v>View</v>
      </c>
    </row>
    <row r="2190" spans="1:21" ht="13.2">
      <c r="A2190" s="6">
        <v>43438.908159722225</v>
      </c>
      <c r="B2190" s="7" t="str">
        <f>HYPERLINK("https://twitter.com/esthweer","@esthweer")</f>
        <v>@esthweer</v>
      </c>
      <c r="C2190" s="8" t="s">
        <v>4195</v>
      </c>
      <c r="D2190" s="9" t="s">
        <v>7457</v>
      </c>
      <c r="E2190" s="10" t="str">
        <f>HYPERLINK("https://twitter.com/esthweer/status/1070057088636858368","1070057088636858368")</f>
        <v>1070057088636858368</v>
      </c>
      <c r="F2190" s="11"/>
      <c r="G2190" s="11"/>
      <c r="H2190" s="11"/>
      <c r="I2190" s="12">
        <v>1</v>
      </c>
      <c r="J2190" s="12">
        <v>3</v>
      </c>
      <c r="K2190" s="13" t="str">
        <f t="shared" ref="K2190:K2191" si="500">HYPERLINK("http://twitter.com/download/iphone","Twitter for iPhone")</f>
        <v>Twitter for iPhone</v>
      </c>
      <c r="L2190" s="12">
        <v>52</v>
      </c>
      <c r="M2190" s="12">
        <v>69</v>
      </c>
      <c r="N2190" s="12">
        <v>0</v>
      </c>
      <c r="O2190" s="14"/>
      <c r="P2190" s="6">
        <v>43404.909363425926</v>
      </c>
      <c r="Q2190" s="15" t="s">
        <v>3192</v>
      </c>
      <c r="R2190" s="17" t="s">
        <v>7458</v>
      </c>
      <c r="S2190" s="11"/>
      <c r="T2190" s="11"/>
      <c r="U2190" s="10" t="str">
        <f>HYPERLINK("https://pbs.twimg.com/profile_images/1066689908348198912/Ce-39tci.jpg","View")</f>
        <v>View</v>
      </c>
    </row>
    <row r="2191" spans="1:21" ht="51">
      <c r="A2191" s="6">
        <v>43438.907662037032</v>
      </c>
      <c r="B2191" s="7" t="str">
        <f>HYPERLINK("https://twitter.com/_____Nadie","@_____Nadie")</f>
        <v>@_____Nadie</v>
      </c>
      <c r="C2191" s="8" t="s">
        <v>7459</v>
      </c>
      <c r="D2191" s="9" t="s">
        <v>7460</v>
      </c>
      <c r="E2191" s="10" t="str">
        <f>HYPERLINK("https://twitter.com/_____Nadie/status/1070056908206366720","1070056908206366720")</f>
        <v>1070056908206366720</v>
      </c>
      <c r="F2191" s="16" t="s">
        <v>5850</v>
      </c>
      <c r="G2191" s="11"/>
      <c r="H2191" s="11"/>
      <c r="I2191" s="12">
        <v>0</v>
      </c>
      <c r="J2191" s="12">
        <v>0</v>
      </c>
      <c r="K2191" s="13" t="str">
        <f t="shared" si="500"/>
        <v>Twitter for iPhone</v>
      </c>
      <c r="L2191" s="12">
        <v>68</v>
      </c>
      <c r="M2191" s="12">
        <v>0</v>
      </c>
      <c r="N2191" s="12">
        <v>0</v>
      </c>
      <c r="O2191" s="14"/>
      <c r="P2191" s="6">
        <v>43027.962777777779</v>
      </c>
      <c r="Q2191" s="15" t="s">
        <v>197</v>
      </c>
      <c r="R2191" s="17" t="s">
        <v>7461</v>
      </c>
      <c r="S2191" s="11"/>
      <c r="T2191" s="11"/>
      <c r="U2191" s="10" t="str">
        <f>HYPERLINK("https://pbs.twimg.com/profile_images/998157788139278336/Czke3-JV.jpg","View")</f>
        <v>View</v>
      </c>
    </row>
    <row r="2192" spans="1:21" ht="30.6">
      <c r="A2192" s="6">
        <v>43438.907118055555</v>
      </c>
      <c r="B2192" s="7" t="str">
        <f>HYPERLINK("https://twitter.com/sonsolesonega","@sonsolesonega")</f>
        <v>@sonsolesonega</v>
      </c>
      <c r="C2192" s="8" t="s">
        <v>6509</v>
      </c>
      <c r="D2192" s="9" t="s">
        <v>7462</v>
      </c>
      <c r="E2192" s="10" t="str">
        <f>HYPERLINK("https://twitter.com/sonsolesonega/status/1070056712189693952","1070056712189693952")</f>
        <v>1070056712189693952</v>
      </c>
      <c r="F2192" s="11"/>
      <c r="G2192" s="11"/>
      <c r="H2192" s="11"/>
      <c r="I2192" s="12">
        <v>5</v>
      </c>
      <c r="J2192" s="12">
        <v>14</v>
      </c>
      <c r="K2192" s="13" t="str">
        <f>HYPERLINK("http://twitter.com","Twitter Web Client")</f>
        <v>Twitter Web Client</v>
      </c>
      <c r="L2192" s="12">
        <v>39675</v>
      </c>
      <c r="M2192" s="12">
        <v>1746</v>
      </c>
      <c r="N2192" s="12">
        <v>992</v>
      </c>
      <c r="O2192" s="23" t="s">
        <v>89</v>
      </c>
      <c r="P2192" s="6">
        <v>40512.932951388888</v>
      </c>
      <c r="Q2192" s="15" t="s">
        <v>501</v>
      </c>
      <c r="R2192" s="17" t="s">
        <v>6512</v>
      </c>
      <c r="S2192" s="16" t="s">
        <v>6513</v>
      </c>
      <c r="T2192" s="11"/>
      <c r="U2192" s="10" t="str">
        <f>HYPERLINK("https://pbs.twimg.com/profile_images/1030474043479257090/H5b61hpo.jpg","View")</f>
        <v>View</v>
      </c>
    </row>
    <row r="2193" spans="1:21" ht="30.6">
      <c r="A2193" s="6">
        <v>43438.906840277778</v>
      </c>
      <c r="B2193" s="7" t="str">
        <f>HYPERLINK("https://twitter.com/unpocolargo","@unpocolargo")</f>
        <v>@unpocolargo</v>
      </c>
      <c r="C2193" s="8" t="s">
        <v>7463</v>
      </c>
      <c r="D2193" s="9" t="s">
        <v>7464</v>
      </c>
      <c r="E2193" s="10" t="str">
        <f>HYPERLINK("https://twitter.com/unpocolargo/status/1070056611169882113","1070056611169882113")</f>
        <v>1070056611169882113</v>
      </c>
      <c r="F2193" s="11"/>
      <c r="G2193" s="11"/>
      <c r="H2193" s="11"/>
      <c r="I2193" s="12">
        <v>0</v>
      </c>
      <c r="J2193" s="12">
        <v>0</v>
      </c>
      <c r="K2193" s="13" t="str">
        <f>HYPERLINK("http://twitter.com/download/iphone","Twitter for iPhone")</f>
        <v>Twitter for iPhone</v>
      </c>
      <c r="L2193" s="12">
        <v>47</v>
      </c>
      <c r="M2193" s="12">
        <v>185</v>
      </c>
      <c r="N2193" s="12">
        <v>0</v>
      </c>
      <c r="O2193" s="14"/>
      <c r="P2193" s="6">
        <v>41614.989675925928</v>
      </c>
      <c r="Q2193" s="15" t="s">
        <v>364</v>
      </c>
      <c r="R2193" s="17" t="s">
        <v>7465</v>
      </c>
      <c r="S2193" s="11"/>
      <c r="T2193" s="11"/>
      <c r="U2193" s="10" t="str">
        <f>HYPERLINK("https://pbs.twimg.com/profile_images/789536523070926849/o_0BKtvS.jpg","View")</f>
        <v>View</v>
      </c>
    </row>
    <row r="2194" spans="1:21" ht="30.6">
      <c r="A2194" s="6">
        <v>43438.904756944445</v>
      </c>
      <c r="B2194" s="7" t="str">
        <f>HYPERLINK("https://twitter.com/FelixZorrilla","@FelixZorrilla")</f>
        <v>@FelixZorrilla</v>
      </c>
      <c r="C2194" s="8" t="s">
        <v>7466</v>
      </c>
      <c r="D2194" s="9" t="s">
        <v>7467</v>
      </c>
      <c r="E2194" s="10" t="str">
        <f>HYPERLINK("https://twitter.com/FelixZorrilla/status/1070055856165789697","1070055856165789697")</f>
        <v>1070055856165789697</v>
      </c>
      <c r="F2194" s="11"/>
      <c r="G2194" s="11"/>
      <c r="H2194" s="11"/>
      <c r="I2194" s="12">
        <v>0</v>
      </c>
      <c r="J2194" s="12">
        <v>0</v>
      </c>
      <c r="K2194" s="13" t="str">
        <f>HYPERLINK("http://twitter.com/download/android","Twitter for Android")</f>
        <v>Twitter for Android</v>
      </c>
      <c r="L2194" s="12">
        <v>143</v>
      </c>
      <c r="M2194" s="12">
        <v>162</v>
      </c>
      <c r="N2194" s="12">
        <v>0</v>
      </c>
      <c r="O2194" s="14"/>
      <c r="P2194" s="6">
        <v>40893.465358796297</v>
      </c>
      <c r="Q2194" s="15" t="s">
        <v>7468</v>
      </c>
      <c r="R2194" s="17" t="s">
        <v>7469</v>
      </c>
      <c r="S2194" s="11"/>
      <c r="T2194" s="11"/>
      <c r="U2194" s="10" t="str">
        <f>HYPERLINK("https://pbs.twimg.com/profile_images/1017737378419609604/7HJmtExx.jpg","View")</f>
        <v>View</v>
      </c>
    </row>
    <row r="2195" spans="1:21" ht="51">
      <c r="A2195" s="6">
        <v>43438.904641203699</v>
      </c>
      <c r="B2195" s="7" t="str">
        <f>HYPERLINK("https://twitter.com/Sayonara_Progre","@Sayonara_Progre")</f>
        <v>@Sayonara_Progre</v>
      </c>
      <c r="C2195" s="8" t="s">
        <v>7319</v>
      </c>
      <c r="D2195" s="9" t="s">
        <v>7470</v>
      </c>
      <c r="E2195" s="10" t="str">
        <f>HYPERLINK("https://twitter.com/Sayonara_Progre/status/1070055815699202048","1070055815699202048")</f>
        <v>1070055815699202048</v>
      </c>
      <c r="F2195" s="11"/>
      <c r="G2195" s="16" t="s">
        <v>7471</v>
      </c>
      <c r="H2195" s="11"/>
      <c r="I2195" s="12">
        <v>5</v>
      </c>
      <c r="J2195" s="12">
        <v>9</v>
      </c>
      <c r="K2195" s="13" t="str">
        <f>HYPERLINK("http://twitter.com","Twitter Web Client")</f>
        <v>Twitter Web Client</v>
      </c>
      <c r="L2195" s="12">
        <v>1261</v>
      </c>
      <c r="M2195" s="12">
        <v>261</v>
      </c>
      <c r="N2195" s="12">
        <v>11</v>
      </c>
      <c r="O2195" s="14"/>
      <c r="P2195" s="6">
        <v>43046.720914351856</v>
      </c>
      <c r="Q2195" s="15" t="s">
        <v>7322</v>
      </c>
      <c r="R2195" s="17" t="s">
        <v>7323</v>
      </c>
      <c r="S2195" s="16" t="s">
        <v>7324</v>
      </c>
      <c r="T2195" s="11"/>
      <c r="U2195" s="10" t="str">
        <f>HYPERLINK("https://pbs.twimg.com/profile_images/964645589416857600/50NJBIFl.jpg","View")</f>
        <v>View</v>
      </c>
    </row>
    <row r="2196" spans="1:21" ht="61.2">
      <c r="A2196" s="6">
        <v>43438.903981481482</v>
      </c>
      <c r="B2196" s="7" t="str">
        <f>HYPERLINK("https://twitter.com/JMNH74","@JMNH74")</f>
        <v>@JMNH74</v>
      </c>
      <c r="C2196" s="8" t="s">
        <v>7472</v>
      </c>
      <c r="D2196" s="9" t="s">
        <v>7473</v>
      </c>
      <c r="E2196" s="10" t="str">
        <f>HYPERLINK("https://twitter.com/JMNH74/status/1070055575604654082","1070055575604654082")</f>
        <v>1070055575604654082</v>
      </c>
      <c r="F2196" s="16" t="s">
        <v>7474</v>
      </c>
      <c r="G2196" s="16" t="s">
        <v>7475</v>
      </c>
      <c r="H2196" s="11"/>
      <c r="I2196" s="12">
        <v>0</v>
      </c>
      <c r="J2196" s="12">
        <v>1</v>
      </c>
      <c r="K2196" s="13" t="str">
        <f>HYPERLINK("http://twitter.com/download/iphone","Twitter for iPhone")</f>
        <v>Twitter for iPhone</v>
      </c>
      <c r="L2196" s="12">
        <v>1616</v>
      </c>
      <c r="M2196" s="12">
        <v>1226</v>
      </c>
      <c r="N2196" s="12">
        <v>2</v>
      </c>
      <c r="O2196" s="14"/>
      <c r="P2196" s="6">
        <v>40840.149953703702</v>
      </c>
      <c r="Q2196" s="15" t="s">
        <v>7476</v>
      </c>
      <c r="R2196" s="17" t="s">
        <v>7477</v>
      </c>
      <c r="S2196" s="11"/>
      <c r="T2196" s="11"/>
      <c r="U2196" s="10" t="str">
        <f>HYPERLINK("https://pbs.twimg.com/profile_images/1049741946330210306/kjKKvRrY.jpg","View")</f>
        <v>View</v>
      </c>
    </row>
    <row r="2197" spans="1:21" ht="40.799999999999997">
      <c r="A2197" s="6">
        <v>43438.902789351851</v>
      </c>
      <c r="B2197" s="7" t="str">
        <f>HYPERLINK("https://twitter.com/Ciudadano_G","@Ciudadano_G")</f>
        <v>@Ciudadano_G</v>
      </c>
      <c r="C2197" s="8" t="s">
        <v>7478</v>
      </c>
      <c r="D2197" s="9" t="s">
        <v>7479</v>
      </c>
      <c r="E2197" s="10" t="str">
        <f>HYPERLINK("https://twitter.com/Ciudadano_G/status/1070055145000628225","1070055145000628225")</f>
        <v>1070055145000628225</v>
      </c>
      <c r="F2197" s="11"/>
      <c r="G2197" s="11"/>
      <c r="H2197" s="11"/>
      <c r="I2197" s="12">
        <v>0</v>
      </c>
      <c r="J2197" s="12">
        <v>0</v>
      </c>
      <c r="K2197" s="13" t="str">
        <f>HYPERLINK("http://twitter.com/download/android","Twitter for Android")</f>
        <v>Twitter for Android</v>
      </c>
      <c r="L2197" s="12">
        <v>156</v>
      </c>
      <c r="M2197" s="12">
        <v>370</v>
      </c>
      <c r="N2197" s="12">
        <v>1</v>
      </c>
      <c r="O2197" s="14"/>
      <c r="P2197" s="6">
        <v>41421.843599537038</v>
      </c>
      <c r="Q2197" s="15" t="s">
        <v>724</v>
      </c>
      <c r="R2197" s="17" t="s">
        <v>7480</v>
      </c>
      <c r="S2197" s="16" t="s">
        <v>7481</v>
      </c>
      <c r="T2197" s="11"/>
      <c r="U2197" s="10" t="str">
        <f>HYPERLINK("https://pbs.twimg.com/profile_images/3734027501/01759fd660cd5859ac38e8dcb1abb86a.png","View")</f>
        <v>View</v>
      </c>
    </row>
    <row r="2198" spans="1:21" ht="20.399999999999999">
      <c r="A2198" s="6">
        <v>43438.901412037041</v>
      </c>
      <c r="B2198" s="7" t="str">
        <f>HYPERLINK("https://twitter.com/Mimi__Nina","@Mimi__Nina")</f>
        <v>@Mimi__Nina</v>
      </c>
      <c r="C2198" s="8" t="s">
        <v>7482</v>
      </c>
      <c r="D2198" s="9" t="s">
        <v>7483</v>
      </c>
      <c r="E2198" s="10" t="str">
        <f>HYPERLINK("https://twitter.com/Mimi__Nina/status/1070054644460806146","1070054644460806146")</f>
        <v>1070054644460806146</v>
      </c>
      <c r="F2198" s="11"/>
      <c r="G2198" s="11"/>
      <c r="H2198" s="11"/>
      <c r="I2198" s="12">
        <v>0</v>
      </c>
      <c r="J2198" s="12">
        <v>0</v>
      </c>
      <c r="K2198" s="13" t="str">
        <f>HYPERLINK("http://twitter.com","Twitter Web Client")</f>
        <v>Twitter Web Client</v>
      </c>
      <c r="L2198" s="12">
        <v>67</v>
      </c>
      <c r="M2198" s="12">
        <v>175</v>
      </c>
      <c r="N2198" s="12">
        <v>0</v>
      </c>
      <c r="O2198" s="14"/>
      <c r="P2198" s="6">
        <v>40466.008981481486</v>
      </c>
      <c r="Q2198" s="15" t="s">
        <v>3361</v>
      </c>
      <c r="R2198" s="17" t="s">
        <v>7484</v>
      </c>
      <c r="S2198" s="11"/>
      <c r="T2198" s="11"/>
      <c r="U2198" s="10" t="str">
        <f>HYPERLINK("https://pbs.twimg.com/profile_images/1067817452988506114/BHMwj2DC.jpg","View")</f>
        <v>View</v>
      </c>
    </row>
    <row r="2199" spans="1:21" ht="61.2">
      <c r="A2199" s="6">
        <v>43438.901203703703</v>
      </c>
      <c r="B2199" s="7" t="str">
        <f>HYPERLINK("https://twitter.com/latrincheraaudi","@latrincheraaudi")</f>
        <v>@latrincheraaudi</v>
      </c>
      <c r="C2199" s="8" t="s">
        <v>7485</v>
      </c>
      <c r="D2199" s="9" t="s">
        <v>7486</v>
      </c>
      <c r="E2199" s="10" t="str">
        <f>HYPERLINK("https://twitter.com/latrincheraaudi/status/1070054568690618373","1070054568690618373")</f>
        <v>1070054568690618373</v>
      </c>
      <c r="F2199" s="15" t="s">
        <v>7487</v>
      </c>
      <c r="G2199" s="11"/>
      <c r="H2199" s="11"/>
      <c r="I2199" s="12">
        <v>1</v>
      </c>
      <c r="J2199" s="12">
        <v>1</v>
      </c>
      <c r="K2199" s="13" t="str">
        <f>HYPERLINK("http://twitter.com/download/android","Twitter for Android")</f>
        <v>Twitter for Android</v>
      </c>
      <c r="L2199" s="12">
        <v>2292</v>
      </c>
      <c r="M2199" s="12">
        <v>1840</v>
      </c>
      <c r="N2199" s="12">
        <v>25</v>
      </c>
      <c r="O2199" s="14"/>
      <c r="P2199" s="6">
        <v>40707.589282407411</v>
      </c>
      <c r="Q2199" s="15" t="s">
        <v>7488</v>
      </c>
      <c r="R2199" s="17" t="s">
        <v>7489</v>
      </c>
      <c r="S2199" s="11"/>
      <c r="T2199" s="11"/>
      <c r="U2199" s="10" t="str">
        <f>HYPERLINK("https://pbs.twimg.com/profile_images/1701971782/fernando_posterizado.jpg","View")</f>
        <v>View</v>
      </c>
    </row>
    <row r="2200" spans="1:21" ht="51">
      <c r="A2200" s="6">
        <v>43438.900081018517</v>
      </c>
      <c r="B2200" s="7" t="str">
        <f>HYPERLINK("https://twitter.com/AlvarVillalobos","@AlvarVillalobos")</f>
        <v>@AlvarVillalobos</v>
      </c>
      <c r="C2200" s="8" t="s">
        <v>7490</v>
      </c>
      <c r="D2200" s="9" t="s">
        <v>7491</v>
      </c>
      <c r="E2200" s="10" t="str">
        <f>HYPERLINK("https://twitter.com/AlvarVillalobos/status/1070054160295452673","1070054160295452673")</f>
        <v>1070054160295452673</v>
      </c>
      <c r="F2200" s="15" t="s">
        <v>7492</v>
      </c>
      <c r="G2200" s="11"/>
      <c r="H2200" s="11"/>
      <c r="I2200" s="12">
        <v>0</v>
      </c>
      <c r="J2200" s="12">
        <v>0</v>
      </c>
      <c r="K2200" s="13" t="str">
        <f>HYPERLINK("https://mobile.twitter.com","Twitter Lite")</f>
        <v>Twitter Lite</v>
      </c>
      <c r="L2200" s="12">
        <v>277</v>
      </c>
      <c r="M2200" s="12">
        <v>409</v>
      </c>
      <c r="N2200" s="12">
        <v>8</v>
      </c>
      <c r="O2200" s="14"/>
      <c r="P2200" s="6">
        <v>41192.751944444448</v>
      </c>
      <c r="Q2200" s="15" t="s">
        <v>612</v>
      </c>
      <c r="R2200" s="17" t="s">
        <v>7493</v>
      </c>
      <c r="S2200" s="16" t="s">
        <v>7494</v>
      </c>
      <c r="T2200" s="11"/>
      <c r="U2200" s="10" t="str">
        <f>HYPERLINK("https://pbs.twimg.com/profile_images/947059402309332992/6Z5eZGqD.jpg","View")</f>
        <v>View</v>
      </c>
    </row>
    <row r="2201" spans="1:21" ht="30.6">
      <c r="A2201" s="6">
        <v>43438.8987962963</v>
      </c>
      <c r="B2201" s="7" t="str">
        <f>HYPERLINK("https://twitter.com/elunicosentido","@elunicosentido")</f>
        <v>@elunicosentido</v>
      </c>
      <c r="C2201" s="8" t="s">
        <v>7495</v>
      </c>
      <c r="D2201" s="9" t="s">
        <v>7496</v>
      </c>
      <c r="E2201" s="10" t="str">
        <f>HYPERLINK("https://twitter.com/elunicosentido/status/1070053697827340288","1070053697827340288")</f>
        <v>1070053697827340288</v>
      </c>
      <c r="F2201" s="11"/>
      <c r="G2201" s="11"/>
      <c r="H2201" s="11"/>
      <c r="I2201" s="12">
        <v>4</v>
      </c>
      <c r="J2201" s="12">
        <v>4</v>
      </c>
      <c r="K2201" s="13" t="str">
        <f t="shared" ref="K2201:K2202" si="501">HYPERLINK("http://twitter.com/download/iphone","Twitter for iPhone")</f>
        <v>Twitter for iPhone</v>
      </c>
      <c r="L2201" s="12">
        <v>1231</v>
      </c>
      <c r="M2201" s="12">
        <v>651</v>
      </c>
      <c r="N2201" s="12">
        <v>4</v>
      </c>
      <c r="O2201" s="14"/>
      <c r="P2201" s="6">
        <v>42518.454733796301</v>
      </c>
      <c r="Q2201" s="15" t="s">
        <v>986</v>
      </c>
      <c r="R2201" s="17" t="s">
        <v>7497</v>
      </c>
      <c r="S2201" s="11"/>
      <c r="T2201" s="11"/>
      <c r="U2201" s="10" t="str">
        <f>HYPERLINK("https://pbs.twimg.com/profile_images/978040579165696000/nOL_S4UM.jpg","View")</f>
        <v>View</v>
      </c>
    </row>
    <row r="2202" spans="1:21" ht="112.2">
      <c r="A2202" s="6">
        <v>43438.898657407408</v>
      </c>
      <c r="B2202" s="7" t="str">
        <f>HYPERLINK("https://twitter.com/patricia_trix8","@patricia_trix8")</f>
        <v>@patricia_trix8</v>
      </c>
      <c r="C2202" s="8" t="s">
        <v>7291</v>
      </c>
      <c r="D2202" s="9" t="s">
        <v>7498</v>
      </c>
      <c r="E2202" s="10" t="str">
        <f>HYPERLINK("https://twitter.com/patricia_trix8/status/1070053647948677121","1070053647948677121")</f>
        <v>1070053647948677121</v>
      </c>
      <c r="F2202" s="16" t="s">
        <v>1328</v>
      </c>
      <c r="G2202" s="11"/>
      <c r="H2202" s="11"/>
      <c r="I2202" s="12">
        <v>15</v>
      </c>
      <c r="J2202" s="12">
        <v>15</v>
      </c>
      <c r="K2202" s="13" t="str">
        <f t="shared" si="501"/>
        <v>Twitter for iPhone</v>
      </c>
      <c r="L2202" s="12">
        <v>1719</v>
      </c>
      <c r="M2202" s="12">
        <v>2007</v>
      </c>
      <c r="N2202" s="12">
        <v>1</v>
      </c>
      <c r="O2202" s="14"/>
      <c r="P2202" s="6">
        <v>43279.446250000001</v>
      </c>
      <c r="Q2202" s="15" t="s">
        <v>1159</v>
      </c>
      <c r="R2202" s="17" t="s">
        <v>7295</v>
      </c>
      <c r="S2202" s="11"/>
      <c r="T2202" s="11"/>
      <c r="U2202" s="10" t="str">
        <f>HYPERLINK("https://pbs.twimg.com/profile_images/1069361901560311808/L8Et6AaH.jpg","View")</f>
        <v>View</v>
      </c>
    </row>
    <row r="2203" spans="1:21" ht="40.799999999999997">
      <c r="A2203" s="6">
        <v>43438.898356481484</v>
      </c>
      <c r="B2203" s="7" t="str">
        <f>HYPERLINK("https://twitter.com/iSemperLiber","@iSemperLiber")</f>
        <v>@iSemperLiber</v>
      </c>
      <c r="C2203" s="8" t="s">
        <v>1330</v>
      </c>
      <c r="D2203" s="9" t="s">
        <v>7499</v>
      </c>
      <c r="E2203" s="10" t="str">
        <f>HYPERLINK("https://twitter.com/iSemperLiber/status/1070053536329818115","1070053536329818115")</f>
        <v>1070053536329818115</v>
      </c>
      <c r="F2203" s="11"/>
      <c r="G2203" s="11"/>
      <c r="H2203" s="11"/>
      <c r="I2203" s="12">
        <v>1</v>
      </c>
      <c r="J2203" s="12">
        <v>1</v>
      </c>
      <c r="K2203" s="13" t="str">
        <f t="shared" ref="K2203:K2206" si="502">HYPERLINK("http://twitter.com/download/android","Twitter for Android")</f>
        <v>Twitter for Android</v>
      </c>
      <c r="L2203" s="12">
        <v>5864</v>
      </c>
      <c r="M2203" s="12">
        <v>484</v>
      </c>
      <c r="N2203" s="12">
        <v>93</v>
      </c>
      <c r="O2203" s="14"/>
      <c r="P2203" s="6">
        <v>42372.423043981486</v>
      </c>
      <c r="Q2203" s="15" t="s">
        <v>100</v>
      </c>
      <c r="R2203" s="17" t="s">
        <v>1334</v>
      </c>
      <c r="S2203" s="16" t="s">
        <v>1335</v>
      </c>
      <c r="T2203" s="11"/>
      <c r="U2203" s="10" t="str">
        <f>HYPERLINK("https://pbs.twimg.com/profile_images/1011968592953430016/rzOJ87gt.jpg","View")</f>
        <v>View</v>
      </c>
    </row>
    <row r="2204" spans="1:21" ht="51">
      <c r="A2204" s="6">
        <v>43438.897476851853</v>
      </c>
      <c r="B2204" s="7" t="str">
        <f>HYPERLINK("https://twitter.com/Estasoy31612048","@Estasoy31612048")</f>
        <v>@Estasoy31612048</v>
      </c>
      <c r="C2204" s="8" t="s">
        <v>7500</v>
      </c>
      <c r="D2204" s="9" t="s">
        <v>7501</v>
      </c>
      <c r="E2204" s="10" t="str">
        <f>HYPERLINK("https://twitter.com/Estasoy31612048/status/1070053218288369666","1070053218288369666")</f>
        <v>1070053218288369666</v>
      </c>
      <c r="F2204" s="11"/>
      <c r="G2204" s="16" t="s">
        <v>7502</v>
      </c>
      <c r="H2204" s="11"/>
      <c r="I2204" s="12">
        <v>1</v>
      </c>
      <c r="J2204" s="12">
        <v>2</v>
      </c>
      <c r="K2204" s="13" t="str">
        <f t="shared" si="502"/>
        <v>Twitter for Android</v>
      </c>
      <c r="L2204" s="12">
        <v>5</v>
      </c>
      <c r="M2204" s="12">
        <v>25</v>
      </c>
      <c r="N2204" s="12">
        <v>0</v>
      </c>
      <c r="O2204" s="14"/>
      <c r="P2204" s="6">
        <v>43437.804363425923</v>
      </c>
      <c r="Q2204" s="15" t="s">
        <v>1048</v>
      </c>
      <c r="R2204" s="17" t="s">
        <v>7503</v>
      </c>
      <c r="S2204" s="11"/>
      <c r="T2204" s="11"/>
      <c r="U2204" s="10" t="str">
        <f>HYPERLINK("https://pbs.twimg.com/profile_images/1069663710417956864/k1L7_biF.jpg","View")</f>
        <v>View</v>
      </c>
    </row>
    <row r="2205" spans="1:21" ht="20.399999999999999">
      <c r="A2205" s="6">
        <v>43438.896481481483</v>
      </c>
      <c r="B2205" s="7" t="str">
        <f>HYPERLINK("https://twitter.com/Aristidezs","@Aristidezs")</f>
        <v>@Aristidezs</v>
      </c>
      <c r="C2205" s="8" t="s">
        <v>7504</v>
      </c>
      <c r="D2205" s="9" t="s">
        <v>7505</v>
      </c>
      <c r="E2205" s="10" t="str">
        <f>HYPERLINK("https://twitter.com/Aristidezs/status/1070052857414586373","1070052857414586373")</f>
        <v>1070052857414586373</v>
      </c>
      <c r="F2205" s="11"/>
      <c r="G2205" s="11"/>
      <c r="H2205" s="11"/>
      <c r="I2205" s="12">
        <v>0</v>
      </c>
      <c r="J2205" s="12">
        <v>0</v>
      </c>
      <c r="K2205" s="13" t="str">
        <f t="shared" si="502"/>
        <v>Twitter for Android</v>
      </c>
      <c r="L2205" s="12">
        <v>6</v>
      </c>
      <c r="M2205" s="12">
        <v>37</v>
      </c>
      <c r="N2205" s="12">
        <v>0</v>
      </c>
      <c r="O2205" s="14"/>
      <c r="P2205" s="6">
        <v>43382.204884259263</v>
      </c>
      <c r="Q2205" s="15" t="s">
        <v>7506</v>
      </c>
      <c r="R2205" s="17" t="s">
        <v>7507</v>
      </c>
      <c r="S2205" s="11"/>
      <c r="T2205" s="11"/>
      <c r="U2205" s="10" t="str">
        <f>HYPERLINK("https://pbs.twimg.com/profile_images/1049653619077865473/EejuWN53.jpg","View")</f>
        <v>View</v>
      </c>
    </row>
    <row r="2206" spans="1:21" ht="61.2">
      <c r="A2206" s="6">
        <v>43438.89634259259</v>
      </c>
      <c r="B2206" s="7" t="str">
        <f>HYPERLINK("https://twitter.com/mangelalvami","@mangelalvami")</f>
        <v>@mangelalvami</v>
      </c>
      <c r="C2206" s="8" t="s">
        <v>7508</v>
      </c>
      <c r="D2206" s="9" t="s">
        <v>7509</v>
      </c>
      <c r="E2206" s="10" t="str">
        <f>HYPERLINK("https://twitter.com/mangelalvami/status/1070052808316121088","1070052808316121088")</f>
        <v>1070052808316121088</v>
      </c>
      <c r="F2206" s="11"/>
      <c r="G2206" s="11"/>
      <c r="H2206" s="11"/>
      <c r="I2206" s="12">
        <v>2</v>
      </c>
      <c r="J2206" s="12">
        <v>3</v>
      </c>
      <c r="K2206" s="13" t="str">
        <f t="shared" si="502"/>
        <v>Twitter for Android</v>
      </c>
      <c r="L2206" s="12">
        <v>1248</v>
      </c>
      <c r="M2206" s="12">
        <v>3157</v>
      </c>
      <c r="N2206" s="12">
        <v>7</v>
      </c>
      <c r="O2206" s="14"/>
      <c r="P2206" s="6">
        <v>41189.999930555554</v>
      </c>
      <c r="Q2206" s="11"/>
      <c r="R2206" s="17" t="s">
        <v>7510</v>
      </c>
      <c r="S2206" s="11"/>
      <c r="T2206" s="11"/>
      <c r="U2206" s="10" t="str">
        <f>HYPERLINK("https://pbs.twimg.com/profile_images/1058664958580396032/o1mj39hL.jpg","View")</f>
        <v>View</v>
      </c>
    </row>
    <row r="2207" spans="1:21" ht="40.799999999999997">
      <c r="A2207" s="6">
        <v>43438.896122685182</v>
      </c>
      <c r="B2207" s="7" t="str">
        <f>HYPERLINK("https://twitter.com/golorico","@golorico")</f>
        <v>@golorico</v>
      </c>
      <c r="C2207" s="8" t="s">
        <v>3395</v>
      </c>
      <c r="D2207" s="9" t="s">
        <v>7511</v>
      </c>
      <c r="E2207" s="10" t="str">
        <f>HYPERLINK("https://twitter.com/golorico/status/1070052725566660608","1070052725566660608")</f>
        <v>1070052725566660608</v>
      </c>
      <c r="F2207" s="11"/>
      <c r="G2207" s="16" t="s">
        <v>7512</v>
      </c>
      <c r="H2207" s="11"/>
      <c r="I2207" s="12">
        <v>2</v>
      </c>
      <c r="J2207" s="12">
        <v>1</v>
      </c>
      <c r="K2207" s="13" t="str">
        <f>HYPERLINK("http://twitter.com","Twitter Web Client")</f>
        <v>Twitter Web Client</v>
      </c>
      <c r="L2207" s="12">
        <v>2919</v>
      </c>
      <c r="M2207" s="12">
        <v>3865</v>
      </c>
      <c r="N2207" s="12">
        <v>60</v>
      </c>
      <c r="O2207" s="14"/>
      <c r="P2207" s="6">
        <v>40866.586539351854</v>
      </c>
      <c r="Q2207" s="11"/>
      <c r="R2207" s="17" t="s">
        <v>3398</v>
      </c>
      <c r="S2207" s="11"/>
      <c r="T2207" s="11"/>
      <c r="U2207" s="10" t="str">
        <f>HYPERLINK("https://pbs.twimg.com/profile_images/883382841232457728/MvxBb_dd.jpg","View")</f>
        <v>View</v>
      </c>
    </row>
    <row r="2208" spans="1:21" ht="30.6">
      <c r="A2208" s="6">
        <v>43438.892175925925</v>
      </c>
      <c r="B2208" s="7" t="str">
        <f>HYPERLINK("https://twitter.com/PiopioBaroja","@PiopioBaroja")</f>
        <v>@PiopioBaroja</v>
      </c>
      <c r="C2208" s="8" t="s">
        <v>5045</v>
      </c>
      <c r="D2208" s="9" t="s">
        <v>7513</v>
      </c>
      <c r="E2208" s="10" t="str">
        <f>HYPERLINK("https://twitter.com/PiopioBaroja/status/1070051298614149120","1070051298614149120")</f>
        <v>1070051298614149120</v>
      </c>
      <c r="F2208" s="16" t="s">
        <v>6867</v>
      </c>
      <c r="G2208" s="11"/>
      <c r="H2208" s="11"/>
      <c r="I2208" s="12">
        <v>1</v>
      </c>
      <c r="J2208" s="12">
        <v>1</v>
      </c>
      <c r="K2208" s="13" t="str">
        <f>HYPERLINK("http://twitter.com/download/android","Twitter for Android")</f>
        <v>Twitter for Android</v>
      </c>
      <c r="L2208" s="12">
        <v>1297</v>
      </c>
      <c r="M2208" s="12">
        <v>576</v>
      </c>
      <c r="N2208" s="12">
        <v>25</v>
      </c>
      <c r="O2208" s="14"/>
      <c r="P2208" s="6">
        <v>42065.957106481481</v>
      </c>
      <c r="Q2208" s="15" t="s">
        <v>5048</v>
      </c>
      <c r="R2208" s="17" t="s">
        <v>5049</v>
      </c>
      <c r="S2208" s="11"/>
      <c r="T2208" s="11"/>
      <c r="U2208" s="10" t="str">
        <f>HYPERLINK("https://pbs.twimg.com/profile_images/883044593037709314/-rOlAzP3.jpg","View")</f>
        <v>View</v>
      </c>
    </row>
    <row r="2209" spans="1:21" ht="71.400000000000006">
      <c r="A2209" s="6">
        <v>43438.891932870371</v>
      </c>
      <c r="B2209" s="7" t="str">
        <f>HYPERLINK("https://twitter.com/Martin7Manu","@Martin7Manu")</f>
        <v>@Martin7Manu</v>
      </c>
      <c r="C2209" s="8" t="s">
        <v>7514</v>
      </c>
      <c r="D2209" s="9" t="s">
        <v>7515</v>
      </c>
      <c r="E2209" s="10" t="str">
        <f>HYPERLINK("https://twitter.com/Martin7Manu/status/1070051210730897410","1070051210730897410")</f>
        <v>1070051210730897410</v>
      </c>
      <c r="F2209" s="16" t="s">
        <v>7516</v>
      </c>
      <c r="G2209" s="16" t="s">
        <v>5346</v>
      </c>
      <c r="H2209" s="11"/>
      <c r="I2209" s="12">
        <v>3</v>
      </c>
      <c r="J2209" s="12">
        <v>8</v>
      </c>
      <c r="K2209" s="13" t="str">
        <f>HYPERLINK("http://twitter.com/download/iphone","Twitter for iPhone")</f>
        <v>Twitter for iPhone</v>
      </c>
      <c r="L2209" s="12">
        <v>1062</v>
      </c>
      <c r="M2209" s="12">
        <v>1347</v>
      </c>
      <c r="N2209" s="12">
        <v>5</v>
      </c>
      <c r="O2209" s="14"/>
      <c r="P2209" s="6">
        <v>41099.865115740744</v>
      </c>
      <c r="Q2209" s="15" t="s">
        <v>7517</v>
      </c>
      <c r="R2209" s="17" t="s">
        <v>7518</v>
      </c>
      <c r="S2209" s="11"/>
      <c r="T2209" s="11"/>
      <c r="U2209" s="10" t="str">
        <f>HYPERLINK("https://pbs.twimg.com/profile_images/983413502403645440/kKHrDsM1.jpg","View")</f>
        <v>View</v>
      </c>
    </row>
    <row r="2210" spans="1:21" ht="40.799999999999997">
      <c r="A2210" s="6">
        <v>43438.891666666663</v>
      </c>
      <c r="B2210" s="7" t="str">
        <f>HYPERLINK("https://twitter.com/CarlosyAndaluz","@CarlosyAndaluz")</f>
        <v>@CarlosyAndaluz</v>
      </c>
      <c r="C2210" s="8" t="s">
        <v>7519</v>
      </c>
      <c r="D2210" s="9" t="s">
        <v>7520</v>
      </c>
      <c r="E2210" s="10" t="str">
        <f>HYPERLINK("https://twitter.com/CarlosyAndaluz/status/1070051112026300419","1070051112026300419")</f>
        <v>1070051112026300419</v>
      </c>
      <c r="F2210" s="11"/>
      <c r="G2210" s="16" t="s">
        <v>7521</v>
      </c>
      <c r="H2210" s="11"/>
      <c r="I2210" s="12">
        <v>1</v>
      </c>
      <c r="J2210" s="12">
        <v>1</v>
      </c>
      <c r="K2210" s="13" t="str">
        <f>HYPERLINK("https://about.twitter.com/products/tweetdeck","TweetDeck")</f>
        <v>TweetDeck</v>
      </c>
      <c r="L2210" s="12">
        <v>3282</v>
      </c>
      <c r="M2210" s="12">
        <v>2809</v>
      </c>
      <c r="N2210" s="12">
        <v>41</v>
      </c>
      <c r="O2210" s="14"/>
      <c r="P2210" s="6">
        <v>40692.512337962966</v>
      </c>
      <c r="Q2210" s="15" t="s">
        <v>1359</v>
      </c>
      <c r="R2210" s="17" t="s">
        <v>7522</v>
      </c>
      <c r="S2210" s="16" t="s">
        <v>7523</v>
      </c>
      <c r="T2210" s="11"/>
      <c r="U2210" s="10" t="str">
        <f>HYPERLINK("https://pbs.twimg.com/profile_images/1069617575171117056/DoHtI4ro.jpg","View")</f>
        <v>View</v>
      </c>
    </row>
    <row r="2211" spans="1:21" ht="40.799999999999997">
      <c r="A2211" s="6">
        <v>43438.890370370369</v>
      </c>
      <c r="B2211" s="7" t="str">
        <f>HYPERLINK("https://twitter.com/Im_ChrisLopez","@Im_ChrisLopez")</f>
        <v>@Im_ChrisLopez</v>
      </c>
      <c r="C2211" s="8" t="s">
        <v>7524</v>
      </c>
      <c r="D2211" s="9" t="s">
        <v>7525</v>
      </c>
      <c r="E2211" s="10" t="str">
        <f>HYPERLINK("https://twitter.com/Im_ChrisLopez/status/1070050642620747776","1070050642620747776")</f>
        <v>1070050642620747776</v>
      </c>
      <c r="F2211" s="11"/>
      <c r="G2211" s="11"/>
      <c r="H2211" s="11"/>
      <c r="I2211" s="12">
        <v>0</v>
      </c>
      <c r="J2211" s="12">
        <v>2</v>
      </c>
      <c r="K2211" s="13" t="str">
        <f>HYPERLINK("http://twitter.com/download/android","Twitter for Android")</f>
        <v>Twitter for Android</v>
      </c>
      <c r="L2211" s="12">
        <v>1180</v>
      </c>
      <c r="M2211" s="12">
        <v>1433</v>
      </c>
      <c r="N2211" s="12">
        <v>5</v>
      </c>
      <c r="O2211" s="14"/>
      <c r="P2211" s="6">
        <v>41045.734236111108</v>
      </c>
      <c r="Q2211" s="15" t="s">
        <v>157</v>
      </c>
      <c r="R2211" s="17" t="s">
        <v>7526</v>
      </c>
      <c r="S2211" s="15" t="s">
        <v>7527</v>
      </c>
      <c r="T2211" s="11"/>
      <c r="U2211" s="10" t="str">
        <f>HYPERLINK("https://pbs.twimg.com/profile_images/1064865781408776198/uoPuB3UW.jpg","View")</f>
        <v>View</v>
      </c>
    </row>
    <row r="2212" spans="1:21" ht="30.6">
      <c r="A2212" s="6">
        <v>43438.889687499999</v>
      </c>
      <c r="B2212" s="7" t="str">
        <f>HYPERLINK("https://twitter.com/FerKabra","@FerKabra")</f>
        <v>@FerKabra</v>
      </c>
      <c r="C2212" s="8" t="s">
        <v>7528</v>
      </c>
      <c r="D2212" s="9" t="s">
        <v>7529</v>
      </c>
      <c r="E2212" s="10" t="str">
        <f>HYPERLINK("https://twitter.com/FerKabra/status/1070050393663684609","1070050393663684609")</f>
        <v>1070050393663684609</v>
      </c>
      <c r="F2212" s="16" t="s">
        <v>132</v>
      </c>
      <c r="G2212" s="11"/>
      <c r="H2212" s="11"/>
      <c r="I2212" s="12">
        <v>0</v>
      </c>
      <c r="J2212" s="12">
        <v>0</v>
      </c>
      <c r="K2212" s="13" t="str">
        <f>HYPERLINK("http://twitter.com/download/iphone","Twitter for iPhone")</f>
        <v>Twitter for iPhone</v>
      </c>
      <c r="L2212" s="12">
        <v>295</v>
      </c>
      <c r="M2212" s="12">
        <v>1432</v>
      </c>
      <c r="N2212" s="12">
        <v>8</v>
      </c>
      <c r="O2212" s="14"/>
      <c r="P2212" s="6">
        <v>40326.826782407406</v>
      </c>
      <c r="Q2212" s="15" t="s">
        <v>712</v>
      </c>
      <c r="R2212" s="17" t="s">
        <v>7530</v>
      </c>
      <c r="S2212" s="16" t="s">
        <v>7531</v>
      </c>
      <c r="T2212" s="11"/>
      <c r="U2212" s="10" t="str">
        <f>HYPERLINK("https://pbs.twimg.com/profile_images/708355281823076352/nDa-AAJ6.jpg","View")</f>
        <v>View</v>
      </c>
    </row>
    <row r="2213" spans="1:21" ht="91.8">
      <c r="A2213" s="6">
        <v>43438.886284722219</v>
      </c>
      <c r="B2213" s="7" t="str">
        <f>HYPERLINK("https://twitter.com/memeses2","@memeses2")</f>
        <v>@memeses2</v>
      </c>
      <c r="C2213" s="8" t="s">
        <v>2495</v>
      </c>
      <c r="D2213" s="9" t="s">
        <v>7532</v>
      </c>
      <c r="E2213" s="10" t="str">
        <f>HYPERLINK("https://twitter.com/memeses2/status/1070049163809832960","1070049163809832960")</f>
        <v>1070049163809832960</v>
      </c>
      <c r="F2213" s="15" t="s">
        <v>7533</v>
      </c>
      <c r="G2213" s="11"/>
      <c r="H2213" s="11"/>
      <c r="I2213" s="12">
        <v>3</v>
      </c>
      <c r="J2213" s="12">
        <v>4</v>
      </c>
      <c r="K2213" s="13" t="str">
        <f>HYPERLINK("http://twitter.com/download/android","Twitter for Android")</f>
        <v>Twitter for Android</v>
      </c>
      <c r="L2213" s="12">
        <v>818</v>
      </c>
      <c r="M2213" s="12">
        <v>749</v>
      </c>
      <c r="N2213" s="12">
        <v>1</v>
      </c>
      <c r="O2213" s="14"/>
      <c r="P2213" s="6">
        <v>43413.516655092593</v>
      </c>
      <c r="Q2213" s="15" t="s">
        <v>197</v>
      </c>
      <c r="R2213" s="17" t="s">
        <v>2499</v>
      </c>
      <c r="S2213" s="11"/>
      <c r="T2213" s="11"/>
      <c r="U2213" s="10" t="str">
        <f>HYPERLINK("https://pbs.twimg.com/profile_images/1060857415640539136/cZbEgTAv.jpg","View")</f>
        <v>View</v>
      </c>
    </row>
    <row r="2214" spans="1:21" ht="71.400000000000006">
      <c r="A2214" s="6">
        <v>43438.88480324074</v>
      </c>
      <c r="B2214" s="7" t="str">
        <f>HYPERLINK("https://twitter.com/ResistenciaAlj1","@ResistenciaAlj1")</f>
        <v>@ResistenciaAlj1</v>
      </c>
      <c r="C2214" s="8" t="s">
        <v>7534</v>
      </c>
      <c r="D2214" s="9" t="s">
        <v>7535</v>
      </c>
      <c r="E2214" s="10" t="str">
        <f>HYPERLINK("https://twitter.com/ResistenciaAlj1/status/1070048623868686338","1070048623868686338")</f>
        <v>1070048623868686338</v>
      </c>
      <c r="F2214" s="15" t="s">
        <v>7533</v>
      </c>
      <c r="G2214" s="11"/>
      <c r="H2214" s="11"/>
      <c r="I2214" s="12">
        <v>0</v>
      </c>
      <c r="J2214" s="12">
        <v>1</v>
      </c>
      <c r="K2214" s="13" t="str">
        <f>HYPERLINK("https://mobile.twitter.com","Twitter Lite")</f>
        <v>Twitter Lite</v>
      </c>
      <c r="L2214" s="12">
        <v>18</v>
      </c>
      <c r="M2214" s="12">
        <v>17</v>
      </c>
      <c r="N2214" s="12">
        <v>1</v>
      </c>
      <c r="O2214" s="14"/>
      <c r="P2214" s="6">
        <v>43425.02616898148</v>
      </c>
      <c r="Q2214" s="11"/>
      <c r="R2214" s="18"/>
      <c r="S2214" s="11"/>
      <c r="T2214" s="11"/>
      <c r="U2214" s="10" t="str">
        <f>HYPERLINK("https://pbs.twimg.com/profile_images/1065720025120735232/Zle0PxjM.png","View")</f>
        <v>View</v>
      </c>
    </row>
    <row r="2215" spans="1:21" ht="102">
      <c r="A2215" s="6">
        <v>43438.88416666667</v>
      </c>
      <c r="B2215" s="7" t="str">
        <f>HYPERLINK("https://twitter.com/EL00LEON","@EL00LEON")</f>
        <v>@EL00LEON</v>
      </c>
      <c r="C2215" s="8" t="s">
        <v>6690</v>
      </c>
      <c r="D2215" s="9" t="s">
        <v>7536</v>
      </c>
      <c r="E2215" s="10" t="str">
        <f>HYPERLINK("https://twitter.com/EL00LEON/status/1070048394448637952","1070048394448637952")</f>
        <v>1070048394448637952</v>
      </c>
      <c r="F2215" s="16" t="s">
        <v>1328</v>
      </c>
      <c r="G2215" s="11"/>
      <c r="H2215" s="11"/>
      <c r="I2215" s="12">
        <v>2</v>
      </c>
      <c r="J2215" s="12">
        <v>0</v>
      </c>
      <c r="K2215" s="13" t="str">
        <f>HYPERLINK("http://twitter.com/download/iphone","Twitter for iPhone")</f>
        <v>Twitter for iPhone</v>
      </c>
      <c r="L2215" s="12">
        <v>662</v>
      </c>
      <c r="M2215" s="12">
        <v>438</v>
      </c>
      <c r="N2215" s="12">
        <v>13</v>
      </c>
      <c r="O2215" s="14"/>
      <c r="P2215" s="6">
        <v>42227.953958333332</v>
      </c>
      <c r="Q2215" s="11"/>
      <c r="R2215" s="18"/>
      <c r="S2215" s="11"/>
      <c r="T2215" s="11"/>
      <c r="U2215" s="10" t="str">
        <f>HYPERLINK("https://pbs.twimg.com/profile_images/631208801664937985/cIjOulWw.jpg","View")</f>
        <v>View</v>
      </c>
    </row>
    <row r="2216" spans="1:21" ht="30.6">
      <c r="A2216" s="6">
        <v>43438.884085648147</v>
      </c>
      <c r="B2216" s="7" t="str">
        <f>HYPERLINK("https://twitter.com/enlafronteratv","@enlafronteratv")</f>
        <v>@enlafronteratv</v>
      </c>
      <c r="C2216" s="8" t="s">
        <v>7537</v>
      </c>
      <c r="D2216" s="9" t="s">
        <v>7538</v>
      </c>
      <c r="E2216" s="10" t="str">
        <f>HYPERLINK("https://twitter.com/enlafronteratv/status/1070048366438965248","1070048366438965248")</f>
        <v>1070048366438965248</v>
      </c>
      <c r="F2216" s="16" t="s">
        <v>7539</v>
      </c>
      <c r="G2216" s="16" t="s">
        <v>7540</v>
      </c>
      <c r="H2216" s="11"/>
      <c r="I2216" s="12">
        <v>56</v>
      </c>
      <c r="J2216" s="12">
        <v>64</v>
      </c>
      <c r="K2216" s="13" t="str">
        <f>HYPERLINK("http://snappytv.com","SnappyTV.com")</f>
        <v>SnappyTV.com</v>
      </c>
      <c r="L2216" s="12">
        <v>9851</v>
      </c>
      <c r="M2216" s="12">
        <v>213</v>
      </c>
      <c r="N2216" s="12">
        <v>79</v>
      </c>
      <c r="O2216" s="14"/>
      <c r="P2216" s="6">
        <v>43103.719861111109</v>
      </c>
      <c r="Q2216" s="11"/>
      <c r="R2216" s="17" t="s">
        <v>7541</v>
      </c>
      <c r="S2216" s="16" t="s">
        <v>7542</v>
      </c>
      <c r="T2216" s="11"/>
      <c r="U2216" s="10" t="str">
        <f>HYPERLINK("https://pbs.twimg.com/profile_images/950320271294193664/HUWVrA0e.jpg","View")</f>
        <v>View</v>
      </c>
    </row>
    <row r="2217" spans="1:21" ht="30.6">
      <c r="A2217" s="6">
        <v>43438.880682870367</v>
      </c>
      <c r="B2217" s="7" t="str">
        <f>HYPERLINK("https://twitter.com/yo_tube","@yo_tube")</f>
        <v>@yo_tube</v>
      </c>
      <c r="C2217" s="8" t="s">
        <v>7543</v>
      </c>
      <c r="D2217" s="9" t="s">
        <v>7544</v>
      </c>
      <c r="E2217" s="10" t="str">
        <f>HYPERLINK("https://twitter.com/yo_tube/status/1070047133661884416","1070047133661884416")</f>
        <v>1070047133661884416</v>
      </c>
      <c r="F2217" s="11"/>
      <c r="G2217" s="16" t="s">
        <v>7545</v>
      </c>
      <c r="H2217" s="11"/>
      <c r="I2217" s="12">
        <v>5</v>
      </c>
      <c r="J2217" s="12">
        <v>2</v>
      </c>
      <c r="K2217" s="13" t="str">
        <f>HYPERLINK("http://twitter.com/download/android","Twitter for Android")</f>
        <v>Twitter for Android</v>
      </c>
      <c r="L2217" s="12">
        <v>612</v>
      </c>
      <c r="M2217" s="12">
        <v>570</v>
      </c>
      <c r="N2217" s="12">
        <v>1</v>
      </c>
      <c r="O2217" s="14"/>
      <c r="P2217" s="6">
        <v>43110.681585648148</v>
      </c>
      <c r="Q2217" s="11"/>
      <c r="R2217" s="17" t="s">
        <v>7546</v>
      </c>
      <c r="S2217" s="11"/>
      <c r="T2217" s="11"/>
      <c r="U2217" s="10" t="str">
        <f>HYPERLINK("https://pbs.twimg.com/profile_images/1030116398104813573/LljNSwKE.jpg","View")</f>
        <v>View</v>
      </c>
    </row>
    <row r="2218" spans="1:21" ht="61.2">
      <c r="A2218" s="6">
        <v>43438.880219907413</v>
      </c>
      <c r="B2218" s="7" t="str">
        <f>HYPERLINK("https://twitter.com/nomedesporculo1","@nomedesporculo1")</f>
        <v>@nomedesporculo1</v>
      </c>
      <c r="C2218" s="8" t="s">
        <v>258</v>
      </c>
      <c r="D2218" s="9" t="s">
        <v>7547</v>
      </c>
      <c r="E2218" s="10" t="str">
        <f>HYPERLINK("https://twitter.com/nomedesporculo1/status/1070046963293409280","1070046963293409280")</f>
        <v>1070046963293409280</v>
      </c>
      <c r="F2218" s="16" t="s">
        <v>5850</v>
      </c>
      <c r="G2218" s="11"/>
      <c r="H2218" s="11"/>
      <c r="I2218" s="12">
        <v>1</v>
      </c>
      <c r="J2218" s="12">
        <v>2</v>
      </c>
      <c r="K2218" s="13" t="str">
        <f t="shared" ref="K2218:K2219" si="503">HYPERLINK("http://twitter.com","Twitter Web Client")</f>
        <v>Twitter Web Client</v>
      </c>
      <c r="L2218" s="12">
        <v>452</v>
      </c>
      <c r="M2218" s="12">
        <v>573</v>
      </c>
      <c r="N2218" s="12">
        <v>1</v>
      </c>
      <c r="O2218" s="14"/>
      <c r="P2218" s="6">
        <v>43229.504178240742</v>
      </c>
      <c r="Q2218" s="15" t="s">
        <v>197</v>
      </c>
      <c r="R2218" s="17" t="s">
        <v>262</v>
      </c>
      <c r="S2218" s="11"/>
      <c r="T2218" s="11"/>
      <c r="U2218" s="10" t="str">
        <f>HYPERLINK("https://pbs.twimg.com/profile_images/994246645255729152/cHfn_Hjl.jpg","View")</f>
        <v>View</v>
      </c>
    </row>
    <row r="2219" spans="1:21" ht="40.799999999999997">
      <c r="A2219" s="6">
        <v>43438.878645833334</v>
      </c>
      <c r="B2219" s="7" t="str">
        <f>HYPERLINK("https://twitter.com/pasaloydivulga","@pasaloydivulga")</f>
        <v>@pasaloydivulga</v>
      </c>
      <c r="C2219" s="8" t="s">
        <v>7548</v>
      </c>
      <c r="D2219" s="9" t="s">
        <v>7549</v>
      </c>
      <c r="E2219" s="10" t="str">
        <f>HYPERLINK("https://twitter.com/pasaloydivulga/status/1070046392549326848","1070046392549326848")</f>
        <v>1070046392549326848</v>
      </c>
      <c r="F2219" s="16" t="s">
        <v>6227</v>
      </c>
      <c r="G2219" s="11"/>
      <c r="H2219" s="11"/>
      <c r="I2219" s="12">
        <v>6</v>
      </c>
      <c r="J2219" s="12">
        <v>3</v>
      </c>
      <c r="K2219" s="13" t="str">
        <f t="shared" si="503"/>
        <v>Twitter Web Client</v>
      </c>
      <c r="L2219" s="12">
        <v>21607</v>
      </c>
      <c r="M2219" s="12">
        <v>2622</v>
      </c>
      <c r="N2219" s="12">
        <v>198</v>
      </c>
      <c r="O2219" s="14"/>
      <c r="P2219" s="6">
        <v>41151.766805555555</v>
      </c>
      <c r="Q2219" s="15" t="s">
        <v>612</v>
      </c>
      <c r="R2219" s="17" t="s">
        <v>7550</v>
      </c>
      <c r="S2219" s="11"/>
      <c r="T2219" s="11"/>
      <c r="U2219" s="10" t="str">
        <f>HYPERLINK("https://pbs.twimg.com/profile_images/2559634503/gi6ttwqp2zcemgpx3p6s.gif","View")</f>
        <v>View</v>
      </c>
    </row>
    <row r="2220" spans="1:21" ht="40.799999999999997">
      <c r="A2220" s="6">
        <v>43438.877893518518</v>
      </c>
      <c r="B2220" s="7" t="str">
        <f>HYPERLINK("https://twitter.com/jmsalvade","@jmsalvade")</f>
        <v>@jmsalvade</v>
      </c>
      <c r="C2220" s="8" t="s">
        <v>66</v>
      </c>
      <c r="D2220" s="9" t="s">
        <v>7551</v>
      </c>
      <c r="E2220" s="10" t="str">
        <f>HYPERLINK("https://twitter.com/jmsalvade/status/1070046122725556224","1070046122725556224")</f>
        <v>1070046122725556224</v>
      </c>
      <c r="F2220" s="16" t="s">
        <v>7552</v>
      </c>
      <c r="G2220" s="11"/>
      <c r="H2220" s="11"/>
      <c r="I2220" s="12">
        <v>0</v>
      </c>
      <c r="J2220" s="12">
        <v>0</v>
      </c>
      <c r="K2220" s="13" t="str">
        <f>HYPERLINK("http://twitter.com/download/iphone","Twitter for iPhone")</f>
        <v>Twitter for iPhone</v>
      </c>
      <c r="L2220" s="12">
        <v>362</v>
      </c>
      <c r="M2220" s="12">
        <v>695</v>
      </c>
      <c r="N2220" s="12">
        <v>15</v>
      </c>
      <c r="O2220" s="14"/>
      <c r="P2220" s="6">
        <v>41260.869745370372</v>
      </c>
      <c r="Q2220" s="11"/>
      <c r="R2220" s="17" t="s">
        <v>70</v>
      </c>
      <c r="S2220" s="16" t="s">
        <v>71</v>
      </c>
      <c r="T2220" s="11"/>
      <c r="U2220" s="10" t="str">
        <f>HYPERLINK("https://pbs.twimg.com/profile_images/455739214663917568/tdXuqCOx.jpeg","View")</f>
        <v>View</v>
      </c>
    </row>
    <row r="2221" spans="1:21" ht="51">
      <c r="A2221" s="6">
        <v>43438.877824074079</v>
      </c>
      <c r="B2221" s="7" t="str">
        <f>HYPERLINK("https://twitter.com/gabylopez83","@gabylopez83")</f>
        <v>@gabylopez83</v>
      </c>
      <c r="C2221" s="8" t="s">
        <v>111</v>
      </c>
      <c r="D2221" s="9" t="s">
        <v>7553</v>
      </c>
      <c r="E2221" s="10" t="str">
        <f>HYPERLINK("https://twitter.com/gabylopez83/status/1070046094711840768","1070046094711840768")</f>
        <v>1070046094711840768</v>
      </c>
      <c r="F2221" s="11"/>
      <c r="G2221" s="16" t="s">
        <v>7554</v>
      </c>
      <c r="H2221" s="11"/>
      <c r="I2221" s="12">
        <v>58</v>
      </c>
      <c r="J2221" s="12">
        <v>113</v>
      </c>
      <c r="K2221" s="13" t="str">
        <f t="shared" ref="K2221:K2222" si="504">HYPERLINK("http://twitter.com/download/android","Twitter for Android")</f>
        <v>Twitter for Android</v>
      </c>
      <c r="L2221" s="12">
        <v>9623</v>
      </c>
      <c r="M2221" s="12">
        <v>10033</v>
      </c>
      <c r="N2221" s="12">
        <v>14</v>
      </c>
      <c r="O2221" s="14"/>
      <c r="P2221" s="6">
        <v>40862.824189814812</v>
      </c>
      <c r="Q2221" s="11"/>
      <c r="R2221" s="17" t="s">
        <v>114</v>
      </c>
      <c r="S2221" s="16" t="s">
        <v>115</v>
      </c>
      <c r="T2221" s="11"/>
      <c r="U2221" s="10" t="str">
        <f>HYPERLINK("https://pbs.twimg.com/profile_images/1008854272363192320/to6ROs3Z.jpg","View")</f>
        <v>View</v>
      </c>
    </row>
    <row r="2222" spans="1:21" ht="40.799999999999997">
      <c r="A2222" s="6">
        <v>43438.877592592587</v>
      </c>
      <c r="B2222" s="7" t="str">
        <f>HYPERLINK("https://twitter.com/VikingoRMad13","@VikingoRMad13")</f>
        <v>@VikingoRMad13</v>
      </c>
      <c r="C2222" s="8" t="s">
        <v>466</v>
      </c>
      <c r="D2222" s="9" t="s">
        <v>7555</v>
      </c>
      <c r="E2222" s="10" t="str">
        <f>HYPERLINK("https://twitter.com/VikingoRMad13/status/1070046013052907521","1070046013052907521")</f>
        <v>1070046013052907521</v>
      </c>
      <c r="F2222" s="11"/>
      <c r="G2222" s="11"/>
      <c r="H2222" s="11"/>
      <c r="I2222" s="12">
        <v>0</v>
      </c>
      <c r="J2222" s="12">
        <v>0</v>
      </c>
      <c r="K2222" s="13" t="str">
        <f t="shared" si="504"/>
        <v>Twitter for Android</v>
      </c>
      <c r="L2222" s="12">
        <v>599</v>
      </c>
      <c r="M2222" s="12">
        <v>909</v>
      </c>
      <c r="N2222" s="12">
        <v>11</v>
      </c>
      <c r="O2222" s="14"/>
      <c r="P2222" s="6">
        <v>42086.000162037039</v>
      </c>
      <c r="Q2222" s="11"/>
      <c r="R2222" s="17" t="s">
        <v>470</v>
      </c>
      <c r="S2222" s="11"/>
      <c r="T2222" s="11"/>
      <c r="U2222" s="10" t="str">
        <f>HYPERLINK("https://pbs.twimg.com/profile_images/1035621615713902592/KlKLByjE.jpg","View")</f>
        <v>View</v>
      </c>
    </row>
    <row r="2223" spans="1:21" ht="51">
      <c r="A2223" s="6">
        <v>43438.876388888893</v>
      </c>
      <c r="B2223" s="7" t="str">
        <f>HYPERLINK("https://twitter.com/bitMomentum","@bitMomentum")</f>
        <v>@bitMomentum</v>
      </c>
      <c r="C2223" s="8" t="s">
        <v>82</v>
      </c>
      <c r="D2223" s="9" t="s">
        <v>7556</v>
      </c>
      <c r="E2223" s="10" t="str">
        <f>HYPERLINK("https://twitter.com/bitMomentum/status/1070045574848749570","1070045574848749570")</f>
        <v>1070045574848749570</v>
      </c>
      <c r="F2223" s="11"/>
      <c r="G2223" s="11"/>
      <c r="H2223" s="11"/>
      <c r="I2223" s="12">
        <v>0</v>
      </c>
      <c r="J2223" s="12">
        <v>0</v>
      </c>
      <c r="K2223" s="13" t="str">
        <f>HYPERLINK("http://www.bitmomentum.com","bitMomentum Bot")</f>
        <v>bitMomentum Bot</v>
      </c>
      <c r="L2223" s="12">
        <v>10253</v>
      </c>
      <c r="M2223" s="12">
        <v>1059</v>
      </c>
      <c r="N2223" s="12">
        <v>263</v>
      </c>
      <c r="O2223" s="14"/>
      <c r="P2223" s="6">
        <v>41608.667511574073</v>
      </c>
      <c r="Q2223" s="11"/>
      <c r="R2223" s="17" t="s">
        <v>84</v>
      </c>
      <c r="S2223" s="16" t="s">
        <v>85</v>
      </c>
      <c r="T2223" s="11"/>
      <c r="U2223" s="10" t="str">
        <f>HYPERLINK("https://pbs.twimg.com/profile_images/378800000862185241/20ij2H3u.png","View")</f>
        <v>View</v>
      </c>
    </row>
    <row r="2224" spans="1:21" ht="71.400000000000006">
      <c r="A2224" s="6">
        <v>43438.876018518524</v>
      </c>
      <c r="B2224" s="7" t="str">
        <f>HYPERLINK("https://twitter.com/JubeirC","@JubeirC")</f>
        <v>@JubeirC</v>
      </c>
      <c r="C2224" s="8" t="s">
        <v>2398</v>
      </c>
      <c r="D2224" s="9" t="s">
        <v>7557</v>
      </c>
      <c r="E2224" s="10" t="str">
        <f>HYPERLINK("https://twitter.com/JubeirC/status/1070045440954036230","1070045440954036230")</f>
        <v>1070045440954036230</v>
      </c>
      <c r="F2224" s="16" t="s">
        <v>7558</v>
      </c>
      <c r="G2224" s="16" t="s">
        <v>7559</v>
      </c>
      <c r="H2224" s="11"/>
      <c r="I2224" s="12">
        <v>0</v>
      </c>
      <c r="J2224" s="12">
        <v>0</v>
      </c>
      <c r="K2224" s="13" t="str">
        <f>HYPERLINK("http://twitter.com/download/android","Twitter for Android")</f>
        <v>Twitter for Android</v>
      </c>
      <c r="L2224" s="12">
        <v>90</v>
      </c>
      <c r="M2224" s="12">
        <v>168</v>
      </c>
      <c r="N2224" s="12">
        <v>0</v>
      </c>
      <c r="O2224" s="14"/>
      <c r="P2224" s="6">
        <v>43418.45893518519</v>
      </c>
      <c r="Q2224" s="15" t="s">
        <v>185</v>
      </c>
      <c r="R2224" s="17" t="s">
        <v>2400</v>
      </c>
      <c r="S2224" s="11"/>
      <c r="T2224" s="11"/>
      <c r="U2224" s="10" t="str">
        <f>HYPERLINK("https://pbs.twimg.com/profile_images/1067561859199447040/oZtzCzck.jpg","View")</f>
        <v>View</v>
      </c>
    </row>
    <row r="2225" spans="1:21" ht="51">
      <c r="A2225" s="6">
        <v>43438.875694444447</v>
      </c>
      <c r="B2225" s="7" t="str">
        <f>HYPERLINK("https://twitter.com/bitMomentum","@bitMomentum")</f>
        <v>@bitMomentum</v>
      </c>
      <c r="C2225" s="8" t="s">
        <v>82</v>
      </c>
      <c r="D2225" s="9" t="s">
        <v>7560</v>
      </c>
      <c r="E2225" s="10" t="str">
        <f>HYPERLINK("https://twitter.com/bitMomentum/status/1070045323140182016","1070045323140182016")</f>
        <v>1070045323140182016</v>
      </c>
      <c r="F2225" s="11"/>
      <c r="G2225" s="11"/>
      <c r="H2225" s="11"/>
      <c r="I2225" s="12">
        <v>0</v>
      </c>
      <c r="J2225" s="12">
        <v>0</v>
      </c>
      <c r="K2225" s="13" t="str">
        <f>HYPERLINK("http://www.bitmomentum.com","bitMomentum Bot")</f>
        <v>bitMomentum Bot</v>
      </c>
      <c r="L2225" s="12">
        <v>10253</v>
      </c>
      <c r="M2225" s="12">
        <v>1059</v>
      </c>
      <c r="N2225" s="12">
        <v>263</v>
      </c>
      <c r="O2225" s="14"/>
      <c r="P2225" s="6">
        <v>41608.667511574073</v>
      </c>
      <c r="Q2225" s="11"/>
      <c r="R2225" s="17" t="s">
        <v>84</v>
      </c>
      <c r="S2225" s="16" t="s">
        <v>85</v>
      </c>
      <c r="T2225" s="11"/>
      <c r="U2225" s="10" t="str">
        <f>HYPERLINK("https://pbs.twimg.com/profile_images/378800000862185241/20ij2H3u.png","View")</f>
        <v>View</v>
      </c>
    </row>
    <row r="2226" spans="1:21" ht="40.799999999999997">
      <c r="A2226" s="6">
        <v>43438.875659722224</v>
      </c>
      <c r="B2226" s="7" t="str">
        <f>HYPERLINK("https://twitter.com/Juanxito_09","@Juanxito_09")</f>
        <v>@Juanxito_09</v>
      </c>
      <c r="C2226" s="8" t="s">
        <v>7561</v>
      </c>
      <c r="D2226" s="9" t="s">
        <v>7562</v>
      </c>
      <c r="E2226" s="10" t="str">
        <f>HYPERLINK("https://twitter.com/Juanxito_09/status/1070045313401044992","1070045313401044992")</f>
        <v>1070045313401044992</v>
      </c>
      <c r="F2226" s="11"/>
      <c r="G2226" s="16" t="s">
        <v>7563</v>
      </c>
      <c r="H2226" s="11"/>
      <c r="I2226" s="12">
        <v>0</v>
      </c>
      <c r="J2226" s="12">
        <v>0</v>
      </c>
      <c r="K2226" s="13" t="str">
        <f>HYPERLINK("http://twitter.com/download/android","Twitter for Android")</f>
        <v>Twitter for Android</v>
      </c>
      <c r="L2226" s="12">
        <v>450</v>
      </c>
      <c r="M2226" s="12">
        <v>1155</v>
      </c>
      <c r="N2226" s="12">
        <v>3</v>
      </c>
      <c r="O2226" s="14"/>
      <c r="P2226" s="6">
        <v>43385.903692129628</v>
      </c>
      <c r="Q2226" s="15" t="s">
        <v>986</v>
      </c>
      <c r="R2226" s="17" t="s">
        <v>7564</v>
      </c>
      <c r="S2226" s="11"/>
      <c r="T2226" s="11"/>
      <c r="U2226" s="10" t="str">
        <f>HYPERLINK("https://pbs.twimg.com/profile_images/1062861265025069056/dYx1QrpF.jpg","View")</f>
        <v>View</v>
      </c>
    </row>
    <row r="2227" spans="1:21" ht="91.8">
      <c r="A2227" s="6">
        <v>43438.875659722224</v>
      </c>
      <c r="B2227" s="7" t="str">
        <f>HYPERLINK("https://twitter.com/sergio_llarena","@sergio_llarena")</f>
        <v>@sergio_llarena</v>
      </c>
      <c r="C2227" s="8" t="s">
        <v>7565</v>
      </c>
      <c r="D2227" s="9" t="s">
        <v>7566</v>
      </c>
      <c r="E2227" s="10" t="str">
        <f>HYPERLINK("https://twitter.com/sergio_llarena/status/1070045312591511559","1070045312591511559")</f>
        <v>1070045312591511559</v>
      </c>
      <c r="F2227" s="16" t="s">
        <v>7019</v>
      </c>
      <c r="G2227" s="16" t="s">
        <v>7020</v>
      </c>
      <c r="H2227" s="11"/>
      <c r="I2227" s="12">
        <v>0</v>
      </c>
      <c r="J2227" s="12">
        <v>1</v>
      </c>
      <c r="K2227" s="13" t="str">
        <f>HYPERLINK("http://twitter.com/download/iphone","Twitter for iPhone")</f>
        <v>Twitter for iPhone</v>
      </c>
      <c r="L2227" s="12">
        <v>1</v>
      </c>
      <c r="M2227" s="12">
        <v>49</v>
      </c>
      <c r="N2227" s="12">
        <v>0</v>
      </c>
      <c r="O2227" s="14"/>
      <c r="P2227" s="6">
        <v>43145.826041666667</v>
      </c>
      <c r="Q2227" s="15" t="s">
        <v>7567</v>
      </c>
      <c r="R2227" s="18"/>
      <c r="S2227" s="11"/>
      <c r="T2227" s="11"/>
      <c r="U2227" s="10" t="str">
        <f>HYPERLINK("https://pbs.twimg.com/profile_images/963855807615029249/52LSDbW0.jpg","View")</f>
        <v>View</v>
      </c>
    </row>
    <row r="2228" spans="1:21" ht="20.399999999999999">
      <c r="A2228" s="6">
        <v>43438.875648148147</v>
      </c>
      <c r="B2228" s="7" t="str">
        <f>HYPERLINK("https://twitter.com/negativo_stats","@negativo_stats")</f>
        <v>@negativo_stats</v>
      </c>
      <c r="C2228" s="8" t="s">
        <v>182</v>
      </c>
      <c r="D2228" s="9" t="s">
        <v>7568</v>
      </c>
      <c r="E2228" s="10" t="str">
        <f>HYPERLINK("https://twitter.com/negativo_stats/status/1070045305834475521","1070045305834475521")</f>
        <v>1070045305834475521</v>
      </c>
      <c r="F2228" s="11"/>
      <c r="G2228" s="16" t="s">
        <v>7569</v>
      </c>
      <c r="H2228" s="11"/>
      <c r="I2228" s="12">
        <v>0</v>
      </c>
      <c r="J2228" s="12">
        <v>0</v>
      </c>
      <c r="K2228" s="13" t="str">
        <f>HYPERLINK("http://kosmonautica.es","Política Negativa")</f>
        <v>Política Negativa</v>
      </c>
      <c r="L2228" s="12">
        <v>268</v>
      </c>
      <c r="M2228" s="12">
        <v>788</v>
      </c>
      <c r="N2228" s="12">
        <v>2</v>
      </c>
      <c r="O2228" s="14"/>
      <c r="P2228" s="6">
        <v>42171.770601851851</v>
      </c>
      <c r="Q2228" s="15" t="s">
        <v>185</v>
      </c>
      <c r="R2228" s="17" t="s">
        <v>186</v>
      </c>
      <c r="S2228" s="11"/>
      <c r="T2228" s="11"/>
      <c r="U2228" s="10" t="str">
        <f>HYPERLINK("https://pbs.twimg.com/profile_images/628553625984438272/e-VHyhP1.png","View")</f>
        <v>View</v>
      </c>
    </row>
    <row r="2229" spans="1:21" ht="40.799999999999997">
      <c r="A2229" s="6">
        <v>43438.87563657407</v>
      </c>
      <c r="B2229" s="7" t="str">
        <f>HYPERLINK("https://twitter.com/LfilodelabrechA","@LfilodelabrechA")</f>
        <v>@LfilodelabrechA</v>
      </c>
      <c r="C2229" s="8" t="s">
        <v>714</v>
      </c>
      <c r="D2229" s="9" t="s">
        <v>7570</v>
      </c>
      <c r="E2229" s="10" t="str">
        <f>HYPERLINK("https://twitter.com/LfilodelabrechA/status/1070045304832094208","1070045304832094208")</f>
        <v>1070045304832094208</v>
      </c>
      <c r="F2229" s="11"/>
      <c r="G2229" s="11"/>
      <c r="H2229" s="11"/>
      <c r="I2229" s="12">
        <v>0</v>
      </c>
      <c r="J2229" s="12">
        <v>9</v>
      </c>
      <c r="K2229" s="13" t="str">
        <f>HYPERLINK("http://twitter.com","Twitter Web Client")</f>
        <v>Twitter Web Client</v>
      </c>
      <c r="L2229" s="12">
        <v>21395</v>
      </c>
      <c r="M2229" s="12">
        <v>16322</v>
      </c>
      <c r="N2229" s="12">
        <v>155</v>
      </c>
      <c r="O2229" s="14"/>
      <c r="P2229" s="6">
        <v>41995.189953703702</v>
      </c>
      <c r="Q2229" s="15" t="s">
        <v>717</v>
      </c>
      <c r="R2229" s="17" t="s">
        <v>718</v>
      </c>
      <c r="S2229" s="16" t="s">
        <v>719</v>
      </c>
      <c r="T2229" s="11"/>
      <c r="U2229" s="10" t="str">
        <f>HYPERLINK("https://pbs.twimg.com/profile_images/1015231495512915968/1SaMhOsw.jpg","View")</f>
        <v>View</v>
      </c>
    </row>
    <row r="2230" spans="1:21" ht="20.399999999999999">
      <c r="A2230" s="6">
        <v>43438.874513888892</v>
      </c>
      <c r="B2230" s="7" t="str">
        <f>HYPERLINK("https://twitter.com/Himilce12","@Himilce12")</f>
        <v>@Himilce12</v>
      </c>
      <c r="C2230" s="8" t="s">
        <v>7571</v>
      </c>
      <c r="D2230" s="9" t="s">
        <v>7572</v>
      </c>
      <c r="E2230" s="10" t="str">
        <f>HYPERLINK("https://twitter.com/Himilce12/status/1070044898626363392","1070044898626363392")</f>
        <v>1070044898626363392</v>
      </c>
      <c r="F2230" s="11"/>
      <c r="G2230" s="11"/>
      <c r="H2230" s="11"/>
      <c r="I2230" s="12">
        <v>0</v>
      </c>
      <c r="J2230" s="12">
        <v>0</v>
      </c>
      <c r="K2230" s="13" t="str">
        <f>HYPERLINK("http://twitter.com/download/android","Twitter for Android")</f>
        <v>Twitter for Android</v>
      </c>
      <c r="L2230" s="12">
        <v>257</v>
      </c>
      <c r="M2230" s="12">
        <v>1051</v>
      </c>
      <c r="N2230" s="12">
        <v>0</v>
      </c>
      <c r="O2230" s="14"/>
      <c r="P2230" s="6">
        <v>43391.880393518513</v>
      </c>
      <c r="Q2230" s="15" t="s">
        <v>7573</v>
      </c>
      <c r="R2230" s="17" t="s">
        <v>7574</v>
      </c>
      <c r="S2230" s="11"/>
      <c r="T2230" s="11"/>
      <c r="U2230" s="10" t="str">
        <f>HYPERLINK("https://pbs.twimg.com/profile_images/1064995374564282369/a3uF1Zxp.jpg","View")</f>
        <v>View</v>
      </c>
    </row>
    <row r="2231" spans="1:21" ht="112.2">
      <c r="A2231" s="6">
        <v>43438.873333333337</v>
      </c>
      <c r="B2231" s="7" t="str">
        <f>HYPERLINK("https://twitter.com/therealJuanL","@therealJuanL")</f>
        <v>@therealJuanL</v>
      </c>
      <c r="C2231" s="8" t="s">
        <v>7575</v>
      </c>
      <c r="D2231" s="9" t="s">
        <v>7576</v>
      </c>
      <c r="E2231" s="10" t="str">
        <f>HYPERLINK("https://twitter.com/therealJuanL/status/1070044467296645120","1070044467296645120")</f>
        <v>1070044467296645120</v>
      </c>
      <c r="F2231" s="16" t="s">
        <v>7577</v>
      </c>
      <c r="G2231" s="11"/>
      <c r="H2231" s="11"/>
      <c r="I2231" s="12">
        <v>0</v>
      </c>
      <c r="J2231" s="12">
        <v>0</v>
      </c>
      <c r="K2231" s="13" t="str">
        <f>HYPERLINK("http://twitter.com/download/iphone","Twitter for iPhone")</f>
        <v>Twitter for iPhone</v>
      </c>
      <c r="L2231" s="12">
        <v>75</v>
      </c>
      <c r="M2231" s="12">
        <v>485</v>
      </c>
      <c r="N2231" s="12">
        <v>3</v>
      </c>
      <c r="O2231" s="14"/>
      <c r="P2231" s="6">
        <v>41547.886134259257</v>
      </c>
      <c r="Q2231" s="15" t="s">
        <v>7578</v>
      </c>
      <c r="R2231" s="17" t="s">
        <v>7579</v>
      </c>
      <c r="S2231" s="11"/>
      <c r="T2231" s="11"/>
      <c r="U2231" s="10" t="str">
        <f>HYPERLINK("https://pbs.twimg.com/profile_images/924054945388691456/3WHRejpU.jpg","View")</f>
        <v>View</v>
      </c>
    </row>
    <row r="2232" spans="1:21" ht="40.799999999999997">
      <c r="A2232" s="6">
        <v>43438.87332175926</v>
      </c>
      <c r="B2232" s="7" t="str">
        <f>HYPERLINK("https://twitter.com/leotaxil","@leotaxil")</f>
        <v>@leotaxil</v>
      </c>
      <c r="C2232" s="8" t="s">
        <v>7580</v>
      </c>
      <c r="D2232" s="9" t="s">
        <v>7581</v>
      </c>
      <c r="E2232" s="10" t="str">
        <f>HYPERLINK("https://twitter.com/leotaxil/status/1070044465434382336","1070044465434382336")</f>
        <v>1070044465434382336</v>
      </c>
      <c r="F2232" s="16" t="s">
        <v>7582</v>
      </c>
      <c r="G2232" s="11"/>
      <c r="H2232" s="11"/>
      <c r="I2232" s="12">
        <v>1</v>
      </c>
      <c r="J2232" s="12">
        <v>2</v>
      </c>
      <c r="K2232" s="13" t="str">
        <f t="shared" ref="K2232:K2234" si="505">HYPERLINK("http://twitter.com","Twitter Web Client")</f>
        <v>Twitter Web Client</v>
      </c>
      <c r="L2232" s="12">
        <v>19331</v>
      </c>
      <c r="M2232" s="12">
        <v>4317</v>
      </c>
      <c r="N2232" s="12">
        <v>225</v>
      </c>
      <c r="O2232" s="14"/>
      <c r="P2232" s="6">
        <v>40579.552893518521</v>
      </c>
      <c r="Q2232" s="15" t="s">
        <v>7583</v>
      </c>
      <c r="R2232" s="17" t="s">
        <v>7584</v>
      </c>
      <c r="S2232" s="16" t="s">
        <v>7585</v>
      </c>
      <c r="T2232" s="11"/>
      <c r="U2232" s="10" t="str">
        <f>HYPERLINK("https://pbs.twimg.com/profile_images/935254820939759616/fi-Rcz44.jpg","View")</f>
        <v>View</v>
      </c>
    </row>
    <row r="2233" spans="1:21" ht="91.8">
      <c r="A2233" s="6">
        <v>43438.872685185182</v>
      </c>
      <c r="B2233" s="7" t="str">
        <f>HYPERLINK("https://twitter.com/niuyork","@niuyork")</f>
        <v>@niuyork</v>
      </c>
      <c r="C2233" s="8" t="s">
        <v>7586</v>
      </c>
      <c r="D2233" s="9" t="s">
        <v>7587</v>
      </c>
      <c r="E2233" s="10" t="str">
        <f>HYPERLINK("https://twitter.com/niuyork/status/1070044234634444800","1070044234634444800")</f>
        <v>1070044234634444800</v>
      </c>
      <c r="F2233" s="15" t="s">
        <v>2862</v>
      </c>
      <c r="G2233" s="11"/>
      <c r="H2233" s="11"/>
      <c r="I2233" s="12">
        <v>0</v>
      </c>
      <c r="J2233" s="12">
        <v>0</v>
      </c>
      <c r="K2233" s="13" t="str">
        <f t="shared" si="505"/>
        <v>Twitter Web Client</v>
      </c>
      <c r="L2233" s="12">
        <v>85</v>
      </c>
      <c r="M2233" s="12">
        <v>679</v>
      </c>
      <c r="N2233" s="12">
        <v>1</v>
      </c>
      <c r="O2233" s="14"/>
      <c r="P2233" s="6">
        <v>40376.725902777776</v>
      </c>
      <c r="Q2233" s="15" t="s">
        <v>197</v>
      </c>
      <c r="R2233" s="17" t="s">
        <v>7588</v>
      </c>
      <c r="S2233" s="11"/>
      <c r="T2233" s="11"/>
      <c r="U2233" s="10" t="str">
        <f>HYPERLINK("https://pbs.twimg.com/profile_images/1080458929/labios-diamond.jpg","View")</f>
        <v>View</v>
      </c>
    </row>
    <row r="2234" spans="1:21" ht="51">
      <c r="A2234" s="6">
        <v>43438.871342592596</v>
      </c>
      <c r="B2234" s="7" t="str">
        <f>HYPERLINK("https://twitter.com/japi44","@japi44")</f>
        <v>@japi44</v>
      </c>
      <c r="C2234" s="8" t="s">
        <v>4987</v>
      </c>
      <c r="D2234" s="9" t="s">
        <v>7589</v>
      </c>
      <c r="E2234" s="10" t="str">
        <f>HYPERLINK("https://twitter.com/japi44/status/1070043747898011648","1070043747898011648")</f>
        <v>1070043747898011648</v>
      </c>
      <c r="F2234" s="16" t="s">
        <v>6558</v>
      </c>
      <c r="G2234" s="11"/>
      <c r="H2234" s="11"/>
      <c r="I2234" s="12">
        <v>0</v>
      </c>
      <c r="J2234" s="12">
        <v>0</v>
      </c>
      <c r="K2234" s="13" t="str">
        <f t="shared" si="505"/>
        <v>Twitter Web Client</v>
      </c>
      <c r="L2234" s="12">
        <v>60</v>
      </c>
      <c r="M2234" s="12">
        <v>103</v>
      </c>
      <c r="N2234" s="12">
        <v>1</v>
      </c>
      <c r="O2234" s="14"/>
      <c r="P2234" s="6">
        <v>40620.676435185189</v>
      </c>
      <c r="Q2234" s="11"/>
      <c r="R2234" s="17" t="s">
        <v>4989</v>
      </c>
      <c r="S2234" s="11"/>
      <c r="T2234" s="11"/>
      <c r="U2234" s="10" t="str">
        <f>HYPERLINK("https://pbs.twimg.com/profile_images/921811901247614977/4VfNiiPo.jpg","View")</f>
        <v>View</v>
      </c>
    </row>
    <row r="2235" spans="1:21" ht="91.8">
      <c r="A2235" s="6">
        <v>43438.871145833335</v>
      </c>
      <c r="B2235" s="7" t="str">
        <f>HYPERLINK("https://twitter.com/patricia_trix8","@patricia_trix8")</f>
        <v>@patricia_trix8</v>
      </c>
      <c r="C2235" s="8" t="s">
        <v>7291</v>
      </c>
      <c r="D2235" s="9" t="s">
        <v>7590</v>
      </c>
      <c r="E2235" s="10" t="str">
        <f>HYPERLINK("https://twitter.com/patricia_trix8/status/1070043677895090176","1070043677895090176")</f>
        <v>1070043677895090176</v>
      </c>
      <c r="F2235" s="16" t="s">
        <v>7591</v>
      </c>
      <c r="G2235" s="11"/>
      <c r="H2235" s="11"/>
      <c r="I2235" s="12">
        <v>25</v>
      </c>
      <c r="J2235" s="12">
        <v>35</v>
      </c>
      <c r="K2235" s="13" t="str">
        <f>HYPERLINK("http://twitter.com/download/iphone","Twitter for iPhone")</f>
        <v>Twitter for iPhone</v>
      </c>
      <c r="L2235" s="12">
        <v>1719</v>
      </c>
      <c r="M2235" s="12">
        <v>2007</v>
      </c>
      <c r="N2235" s="12">
        <v>1</v>
      </c>
      <c r="O2235" s="14"/>
      <c r="P2235" s="6">
        <v>43279.446250000001</v>
      </c>
      <c r="Q2235" s="15" t="s">
        <v>1159</v>
      </c>
      <c r="R2235" s="17" t="s">
        <v>7295</v>
      </c>
      <c r="S2235" s="11"/>
      <c r="T2235" s="11"/>
      <c r="U2235" s="10" t="str">
        <f>HYPERLINK("https://pbs.twimg.com/profile_images/1069361901560311808/L8Et6AaH.jpg","View")</f>
        <v>View</v>
      </c>
    </row>
    <row r="2236" spans="1:21" ht="51">
      <c r="A2236" s="6">
        <v>43438.870937500003</v>
      </c>
      <c r="B2236" s="7" t="str">
        <f>HYPERLINK("https://twitter.com/AlbertoSBlanco","@AlbertoSBlanco")</f>
        <v>@AlbertoSBlanco</v>
      </c>
      <c r="C2236" s="8" t="s">
        <v>1127</v>
      </c>
      <c r="D2236" s="9" t="s">
        <v>7592</v>
      </c>
      <c r="E2236" s="10" t="str">
        <f>HYPERLINK("https://twitter.com/AlbertoSBlanco/status/1070043600522801152","1070043600522801152")</f>
        <v>1070043600522801152</v>
      </c>
      <c r="F2236" s="16" t="s">
        <v>7593</v>
      </c>
      <c r="G2236" s="11"/>
      <c r="H2236" s="11"/>
      <c r="I2236" s="12">
        <v>0</v>
      </c>
      <c r="J2236" s="12">
        <v>0</v>
      </c>
      <c r="K2236" s="13" t="str">
        <f t="shared" ref="K2236:K2238" si="506">HYPERLINK("http://twitter.com/download/android","Twitter for Android")</f>
        <v>Twitter for Android</v>
      </c>
      <c r="L2236" s="12">
        <v>2667</v>
      </c>
      <c r="M2236" s="12">
        <v>1400</v>
      </c>
      <c r="N2236" s="12">
        <v>33</v>
      </c>
      <c r="O2236" s="14"/>
      <c r="P2236" s="6">
        <v>40747.720636574071</v>
      </c>
      <c r="Q2236" s="11"/>
      <c r="R2236" s="17" t="s">
        <v>1130</v>
      </c>
      <c r="S2236" s="16" t="s">
        <v>1131</v>
      </c>
      <c r="T2236" s="11"/>
      <c r="U2236" s="10" t="str">
        <f>HYPERLINK("https://pbs.twimg.com/profile_images/966330983829135360/yRqQ0NN1.jpg","View")</f>
        <v>View</v>
      </c>
    </row>
    <row r="2237" spans="1:21" ht="20.399999999999999">
      <c r="A2237" s="6">
        <v>43438.87018518518</v>
      </c>
      <c r="B2237" s="7" t="str">
        <f>HYPERLINK("https://twitter.com/1966torpedo","@1966torpedo")</f>
        <v>@1966torpedo</v>
      </c>
      <c r="C2237" s="8" t="s">
        <v>7594</v>
      </c>
      <c r="D2237" s="9" t="s">
        <v>7595</v>
      </c>
      <c r="E2237" s="10" t="str">
        <f>HYPERLINK("https://twitter.com/1966torpedo/status/1070043325997178882","1070043325997178882")</f>
        <v>1070043325997178882</v>
      </c>
      <c r="F2237" s="16" t="s">
        <v>7596</v>
      </c>
      <c r="G2237" s="11"/>
      <c r="H2237" s="11"/>
      <c r="I2237" s="12">
        <v>0</v>
      </c>
      <c r="J2237" s="12">
        <v>0</v>
      </c>
      <c r="K2237" s="13" t="str">
        <f t="shared" si="506"/>
        <v>Twitter for Android</v>
      </c>
      <c r="L2237" s="12">
        <v>187</v>
      </c>
      <c r="M2237" s="12">
        <v>178</v>
      </c>
      <c r="N2237" s="12">
        <v>0</v>
      </c>
      <c r="O2237" s="14"/>
      <c r="P2237" s="6">
        <v>42339.882222222222</v>
      </c>
      <c r="Q2237" s="15" t="s">
        <v>872</v>
      </c>
      <c r="R2237" s="17" t="s">
        <v>7597</v>
      </c>
      <c r="S2237" s="11"/>
      <c r="T2237" s="11"/>
      <c r="U2237" s="10" t="str">
        <f>HYPERLINK("https://pbs.twimg.com/profile_images/920702267166265346/tNu0qdQz.jpg","View")</f>
        <v>View</v>
      </c>
    </row>
    <row r="2238" spans="1:21" ht="51">
      <c r="A2238" s="6">
        <v>43438.869652777779</v>
      </c>
      <c r="B2238" s="7" t="str">
        <f>HYPERLINK("https://twitter.com/Ivan92241169","@Ivan92241169")</f>
        <v>@Ivan92241169</v>
      </c>
      <c r="C2238" s="8" t="s">
        <v>22</v>
      </c>
      <c r="D2238" s="9" t="s">
        <v>7598</v>
      </c>
      <c r="E2238" s="10" t="str">
        <f>HYPERLINK("https://twitter.com/Ivan92241169/status/1070043134573404161","1070043134573404161")</f>
        <v>1070043134573404161</v>
      </c>
      <c r="F2238" s="16" t="s">
        <v>7599</v>
      </c>
      <c r="G2238" s="11"/>
      <c r="H2238" s="11"/>
      <c r="I2238" s="12">
        <v>0</v>
      </c>
      <c r="J2238" s="12">
        <v>0</v>
      </c>
      <c r="K2238" s="13" t="str">
        <f t="shared" si="506"/>
        <v>Twitter for Android</v>
      </c>
      <c r="L2238" s="12">
        <v>96</v>
      </c>
      <c r="M2238" s="12">
        <v>137</v>
      </c>
      <c r="N2238" s="12">
        <v>0</v>
      </c>
      <c r="O2238" s="14"/>
      <c r="P2238" s="6">
        <v>43384.573900462958</v>
      </c>
      <c r="Q2238" s="15" t="s">
        <v>25</v>
      </c>
      <c r="R2238" s="17" t="s">
        <v>26</v>
      </c>
      <c r="S2238" s="11"/>
      <c r="T2238" s="11"/>
      <c r="U2238" s="10" t="str">
        <f>HYPERLINK("https://pbs.twimg.com/profile_images/1050476391626625029/kyaKp9F9.jpg","View")</f>
        <v>View</v>
      </c>
    </row>
    <row r="2239" spans="1:21" ht="51">
      <c r="A2239" s="6">
        <v>43438.866770833338</v>
      </c>
      <c r="B2239" s="7" t="str">
        <f>HYPERLINK("https://twitter.com/LeoncicoBalboa","@LeoncicoBalboa")</f>
        <v>@LeoncicoBalboa</v>
      </c>
      <c r="C2239" s="8" t="s">
        <v>6520</v>
      </c>
      <c r="D2239" s="9" t="s">
        <v>7600</v>
      </c>
      <c r="E2239" s="10" t="str">
        <f>HYPERLINK("https://twitter.com/LeoncicoBalboa/status/1070042089617002497","1070042089617002497")</f>
        <v>1070042089617002497</v>
      </c>
      <c r="F2239" s="11"/>
      <c r="G2239" s="16" t="s">
        <v>7601</v>
      </c>
      <c r="H2239" s="11"/>
      <c r="I2239" s="12">
        <v>6</v>
      </c>
      <c r="J2239" s="12">
        <v>10</v>
      </c>
      <c r="K2239" s="13" t="str">
        <f>HYPERLINK("https://mobile.twitter.com","Twitter Lite")</f>
        <v>Twitter Lite</v>
      </c>
      <c r="L2239" s="12">
        <v>22</v>
      </c>
      <c r="M2239" s="12">
        <v>23</v>
      </c>
      <c r="N2239" s="12">
        <v>0</v>
      </c>
      <c r="O2239" s="14"/>
      <c r="P2239" s="6">
        <v>42969.826469907406</v>
      </c>
      <c r="Q2239" s="11"/>
      <c r="R2239" s="17" t="s">
        <v>6522</v>
      </c>
      <c r="S2239" s="11"/>
      <c r="T2239" s="11"/>
      <c r="U2239" s="10" t="str">
        <f>HYPERLINK("https://pbs.twimg.com/profile_images/900065353061019650/s7lJONBH.jpg","View")</f>
        <v>View</v>
      </c>
    </row>
    <row r="2240" spans="1:21" ht="51">
      <c r="A2240" s="6">
        <v>43438.865671296298</v>
      </c>
      <c r="B2240" s="7" t="str">
        <f>HYPERLINK("https://twitter.com/DanielE09894465","@DanielE09894465")</f>
        <v>@DanielE09894465</v>
      </c>
      <c r="C2240" s="8" t="s">
        <v>7602</v>
      </c>
      <c r="D2240" s="9" t="s">
        <v>7603</v>
      </c>
      <c r="E2240" s="10" t="str">
        <f>HYPERLINK("https://twitter.com/DanielE09894465/status/1070041691036499968","1070041691036499968")</f>
        <v>1070041691036499968</v>
      </c>
      <c r="F2240" s="11"/>
      <c r="G2240" s="11"/>
      <c r="H2240" s="11"/>
      <c r="I2240" s="12">
        <v>0</v>
      </c>
      <c r="J2240" s="12">
        <v>0</v>
      </c>
      <c r="K2240" s="13" t="str">
        <f t="shared" ref="K2240:K2241" si="507">HYPERLINK("http://twitter.com/download/android","Twitter for Android")</f>
        <v>Twitter for Android</v>
      </c>
      <c r="L2240" s="12">
        <v>60</v>
      </c>
      <c r="M2240" s="12">
        <v>58</v>
      </c>
      <c r="N2240" s="12">
        <v>0</v>
      </c>
      <c r="O2240" s="14"/>
      <c r="P2240" s="6">
        <v>43417.573148148149</v>
      </c>
      <c r="Q2240" s="15" t="s">
        <v>197</v>
      </c>
      <c r="R2240" s="17" t="s">
        <v>7604</v>
      </c>
      <c r="S2240" s="11"/>
      <c r="T2240" s="11"/>
      <c r="U2240" s="10" t="str">
        <f>HYPERLINK("https://pbs.twimg.com/profile_images/1063911443102343169/q95GWXPF.jpg","View")</f>
        <v>View</v>
      </c>
    </row>
    <row r="2241" spans="1:21" ht="51">
      <c r="A2241" s="6">
        <v>43438.864270833335</v>
      </c>
      <c r="B2241" s="7" t="str">
        <f>HYPERLINK("https://twitter.com/RaPiqFu","@RaPiqFu")</f>
        <v>@RaPiqFu</v>
      </c>
      <c r="C2241" s="8" t="s">
        <v>6540</v>
      </c>
      <c r="D2241" s="9" t="s">
        <v>7605</v>
      </c>
      <c r="E2241" s="10" t="str">
        <f>HYPERLINK("https://twitter.com/RaPiqFu/status/1070041184305852416","1070041184305852416")</f>
        <v>1070041184305852416</v>
      </c>
      <c r="F2241" s="11"/>
      <c r="G2241" s="16" t="s">
        <v>7606</v>
      </c>
      <c r="H2241" s="11"/>
      <c r="I2241" s="12">
        <v>0</v>
      </c>
      <c r="J2241" s="12">
        <v>0</v>
      </c>
      <c r="K2241" s="13" t="str">
        <f t="shared" si="507"/>
        <v>Twitter for Android</v>
      </c>
      <c r="L2241" s="12">
        <v>1592</v>
      </c>
      <c r="M2241" s="12">
        <v>814</v>
      </c>
      <c r="N2241" s="12">
        <v>21</v>
      </c>
      <c r="O2241" s="14"/>
      <c r="P2241" s="6">
        <v>40595.905127314814</v>
      </c>
      <c r="Q2241" s="15" t="s">
        <v>100</v>
      </c>
      <c r="R2241" s="17" t="s">
        <v>6542</v>
      </c>
      <c r="S2241" s="11"/>
      <c r="T2241" s="11"/>
      <c r="U2241" s="10" t="str">
        <f>HYPERLINK("https://pbs.twimg.com/profile_images/1069925999566041088/3oxibisV.jpg","View")</f>
        <v>View</v>
      </c>
    </row>
    <row r="2242" spans="1:21" ht="30.6">
      <c r="A2242" s="6">
        <v>43438.864236111112</v>
      </c>
      <c r="B2242" s="7" t="str">
        <f>HYPERLINK("https://twitter.com/delmarsergio","@delmarsergio")</f>
        <v>@delmarsergio</v>
      </c>
      <c r="C2242" s="8" t="s">
        <v>7607</v>
      </c>
      <c r="D2242" s="9" t="s">
        <v>7608</v>
      </c>
      <c r="E2242" s="10" t="str">
        <f>HYPERLINK("https://twitter.com/delmarsergio/status/1070041172679278597","1070041172679278597")</f>
        <v>1070041172679278597</v>
      </c>
      <c r="F2242" s="11"/>
      <c r="G2242" s="16" t="s">
        <v>7609</v>
      </c>
      <c r="H2242" s="11"/>
      <c r="I2242" s="12">
        <v>2</v>
      </c>
      <c r="J2242" s="12">
        <v>0</v>
      </c>
      <c r="K2242" s="13" t="str">
        <f>HYPERLINK("http://twitter.com","Twitter Web Client")</f>
        <v>Twitter Web Client</v>
      </c>
      <c r="L2242" s="12">
        <v>472</v>
      </c>
      <c r="M2242" s="12">
        <v>547</v>
      </c>
      <c r="N2242" s="12">
        <v>2</v>
      </c>
      <c r="O2242" s="14"/>
      <c r="P2242" s="6">
        <v>42668.719942129625</v>
      </c>
      <c r="Q2242" s="15" t="s">
        <v>4300</v>
      </c>
      <c r="R2242" s="17" t="s">
        <v>7610</v>
      </c>
      <c r="S2242" s="11"/>
      <c r="T2242" s="11"/>
      <c r="U2242" s="10" t="str">
        <f>HYPERLINK("https://pbs.twimg.com/profile_images/1010499027450892288/_7NoolBM.jpg","View")</f>
        <v>View</v>
      </c>
    </row>
    <row r="2243" spans="1:21" ht="40.799999999999997">
      <c r="A2243" s="6">
        <v>43438.862881944442</v>
      </c>
      <c r="B2243" s="7" t="str">
        <f>HYPERLINK("https://twitter.com/Sandrubman","@Sandrubman")</f>
        <v>@Sandrubman</v>
      </c>
      <c r="C2243" s="8" t="s">
        <v>7611</v>
      </c>
      <c r="D2243" s="9" t="s">
        <v>7612</v>
      </c>
      <c r="E2243" s="10" t="str">
        <f>HYPERLINK("https://twitter.com/Sandrubman/status/1070040682277015555","1070040682277015555")</f>
        <v>1070040682277015555</v>
      </c>
      <c r="F2243" s="11"/>
      <c r="G2243" s="11"/>
      <c r="H2243" s="11"/>
      <c r="I2243" s="12">
        <v>0</v>
      </c>
      <c r="J2243" s="12">
        <v>0</v>
      </c>
      <c r="K2243" s="13" t="str">
        <f>HYPERLINK("http://twitter.com/download/iphone","Twitter for iPhone")</f>
        <v>Twitter for iPhone</v>
      </c>
      <c r="L2243" s="12">
        <v>895</v>
      </c>
      <c r="M2243" s="12">
        <v>284</v>
      </c>
      <c r="N2243" s="12">
        <v>11</v>
      </c>
      <c r="O2243" s="14"/>
      <c r="P2243" s="6">
        <v>41296.893611111111</v>
      </c>
      <c r="Q2243" s="15" t="s">
        <v>7613</v>
      </c>
      <c r="R2243" s="17" t="s">
        <v>7614</v>
      </c>
      <c r="S2243" s="11"/>
      <c r="T2243" s="11"/>
      <c r="U2243" s="10" t="str">
        <f>HYPERLINK("https://pbs.twimg.com/profile_images/1064664616926670849/CoZZPQct.jpg","View")</f>
        <v>View</v>
      </c>
    </row>
    <row r="2244" spans="1:21" ht="81.599999999999994">
      <c r="A2244" s="6">
        <v>43438.862291666665</v>
      </c>
      <c r="B2244" s="7" t="str">
        <f>HYPERLINK("https://twitter.com/AnaGarcia2Mayo","@AnaGarcia2Mayo")</f>
        <v>@AnaGarcia2Mayo</v>
      </c>
      <c r="C2244" s="8" t="s">
        <v>1118</v>
      </c>
      <c r="D2244" s="9" t="s">
        <v>7615</v>
      </c>
      <c r="E2244" s="10" t="str">
        <f>HYPERLINK("https://twitter.com/AnaGarcia2Mayo/status/1070040466954031105","1070040466954031105")</f>
        <v>1070040466954031105</v>
      </c>
      <c r="F2244" s="15" t="s">
        <v>7533</v>
      </c>
      <c r="G2244" s="11"/>
      <c r="H2244" s="11"/>
      <c r="I2244" s="12">
        <v>1</v>
      </c>
      <c r="J2244" s="12">
        <v>2</v>
      </c>
      <c r="K2244" s="13" t="str">
        <f t="shared" ref="K2244:K2245" si="508">HYPERLINK("http://twitter.com/download/android","Twitter for Android")</f>
        <v>Twitter for Android</v>
      </c>
      <c r="L2244" s="12">
        <v>39</v>
      </c>
      <c r="M2244" s="12">
        <v>40</v>
      </c>
      <c r="N2244" s="12">
        <v>0</v>
      </c>
      <c r="O2244" s="14"/>
      <c r="P2244" s="6">
        <v>43409.777951388889</v>
      </c>
      <c r="Q2244" s="15" t="s">
        <v>1121</v>
      </c>
      <c r="R2244" s="18"/>
      <c r="S2244" s="11"/>
      <c r="T2244" s="11"/>
      <c r="U2244" s="10" t="str">
        <f>HYPERLINK("https://pbs.twimg.com/profile_images/1059501607229014016/9vJV2pGE.jpg","View")</f>
        <v>View</v>
      </c>
    </row>
    <row r="2245" spans="1:21" ht="71.400000000000006">
      <c r="A2245" s="6">
        <v>43438.862141203703</v>
      </c>
      <c r="B2245" s="7" t="str">
        <f>HYPERLINK("https://twitter.com/RodrigoPerezDeG","@RodrigoPerezDeG")</f>
        <v>@RodrigoPerezDeG</v>
      </c>
      <c r="C2245" s="8" t="s">
        <v>7616</v>
      </c>
      <c r="D2245" s="9" t="s">
        <v>7617</v>
      </c>
      <c r="E2245" s="10" t="str">
        <f>HYPERLINK("https://twitter.com/RodrigoPerezDeG/status/1070040414168731648","1070040414168731648")</f>
        <v>1070040414168731648</v>
      </c>
      <c r="F2245" s="15" t="s">
        <v>7618</v>
      </c>
      <c r="G2245" s="11"/>
      <c r="H2245" s="11"/>
      <c r="I2245" s="12">
        <v>0</v>
      </c>
      <c r="J2245" s="12">
        <v>0</v>
      </c>
      <c r="K2245" s="13" t="str">
        <f t="shared" si="508"/>
        <v>Twitter for Android</v>
      </c>
      <c r="L2245" s="12">
        <v>681</v>
      </c>
      <c r="M2245" s="12">
        <v>727</v>
      </c>
      <c r="N2245" s="12">
        <v>0</v>
      </c>
      <c r="O2245" s="14"/>
      <c r="P2245" s="6">
        <v>43355.845358796301</v>
      </c>
      <c r="Q2245" s="15" t="s">
        <v>7619</v>
      </c>
      <c r="R2245" s="17" t="s">
        <v>7620</v>
      </c>
      <c r="S2245" s="16" t="s">
        <v>7621</v>
      </c>
      <c r="T2245" s="11"/>
      <c r="U2245" s="10" t="str">
        <f>HYPERLINK("https://pbs.twimg.com/profile_images/1044473020432175104/WhRCDKJS.jpg","View")</f>
        <v>View</v>
      </c>
    </row>
    <row r="2246" spans="1:21" ht="102">
      <c r="A2246" s="6">
        <v>43438.859039351853</v>
      </c>
      <c r="B2246" s="7" t="str">
        <f>HYPERLINK("https://twitter.com/LaMariMala","@LaMariMala")</f>
        <v>@LaMariMala</v>
      </c>
      <c r="C2246" s="8" t="s">
        <v>7622</v>
      </c>
      <c r="D2246" s="9" t="s">
        <v>7623</v>
      </c>
      <c r="E2246" s="10" t="str">
        <f>HYPERLINK("https://twitter.com/LaMariMala/status/1070039290153975809","1070039290153975809")</f>
        <v>1070039290153975809</v>
      </c>
      <c r="F2246" s="15" t="s">
        <v>7624</v>
      </c>
      <c r="G2246" s="11"/>
      <c r="H2246" s="11"/>
      <c r="I2246" s="12">
        <v>0</v>
      </c>
      <c r="J2246" s="12">
        <v>0</v>
      </c>
      <c r="K2246" s="13" t="str">
        <f t="shared" ref="K2246:K2248" si="509">HYPERLINK("http://twitter.com","Twitter Web Client")</f>
        <v>Twitter Web Client</v>
      </c>
      <c r="L2246" s="12">
        <v>974</v>
      </c>
      <c r="M2246" s="12">
        <v>909</v>
      </c>
      <c r="N2246" s="12">
        <v>15</v>
      </c>
      <c r="O2246" s="14"/>
      <c r="P2246" s="6">
        <v>40576.12023148148</v>
      </c>
      <c r="Q2246" s="15" t="s">
        <v>7625</v>
      </c>
      <c r="R2246" s="17" t="s">
        <v>7626</v>
      </c>
      <c r="S2246" s="11"/>
      <c r="T2246" s="11"/>
      <c r="U2246" s="10" t="str">
        <f>HYPERLINK("https://pbs.twimg.com/profile_images/1064941952280469505/MicxuaPn.jpg","View")</f>
        <v>View</v>
      </c>
    </row>
    <row r="2247" spans="1:21" ht="51">
      <c r="A2247" s="6">
        <v>43438.8590162037</v>
      </c>
      <c r="B2247" s="7" t="str">
        <f>HYPERLINK("https://twitter.com/golorico","@golorico")</f>
        <v>@golorico</v>
      </c>
      <c r="C2247" s="8" t="s">
        <v>3395</v>
      </c>
      <c r="D2247" s="9" t="s">
        <v>7627</v>
      </c>
      <c r="E2247" s="10" t="str">
        <f>HYPERLINK("https://twitter.com/golorico/status/1070039279722749953","1070039279722749953")</f>
        <v>1070039279722749953</v>
      </c>
      <c r="F2247" s="11"/>
      <c r="G2247" s="16" t="s">
        <v>7628</v>
      </c>
      <c r="H2247" s="11"/>
      <c r="I2247" s="12">
        <v>2</v>
      </c>
      <c r="J2247" s="12">
        <v>2</v>
      </c>
      <c r="K2247" s="13" t="str">
        <f t="shared" si="509"/>
        <v>Twitter Web Client</v>
      </c>
      <c r="L2247" s="12">
        <v>2919</v>
      </c>
      <c r="M2247" s="12">
        <v>3865</v>
      </c>
      <c r="N2247" s="12">
        <v>60</v>
      </c>
      <c r="O2247" s="14"/>
      <c r="P2247" s="6">
        <v>40866.586539351854</v>
      </c>
      <c r="Q2247" s="11"/>
      <c r="R2247" s="17" t="s">
        <v>3398</v>
      </c>
      <c r="S2247" s="11"/>
      <c r="T2247" s="11"/>
      <c r="U2247" s="10" t="str">
        <f>HYPERLINK("https://pbs.twimg.com/profile_images/883382841232457728/MvxBb_dd.jpg","View")</f>
        <v>View</v>
      </c>
    </row>
    <row r="2248" spans="1:21" ht="71.400000000000006">
      <c r="A2248" s="6">
        <v>43438.858969907407</v>
      </c>
      <c r="B2248" s="7" t="str">
        <f>HYPERLINK("https://twitter.com/Antonio29407099","@Antonio29407099")</f>
        <v>@Antonio29407099</v>
      </c>
      <c r="C2248" s="8" t="s">
        <v>309</v>
      </c>
      <c r="D2248" s="9" t="s">
        <v>7629</v>
      </c>
      <c r="E2248" s="10" t="str">
        <f>HYPERLINK("https://twitter.com/Antonio29407099/status/1070039263897677824","1070039263897677824")</f>
        <v>1070039263897677824</v>
      </c>
      <c r="F2248" s="15" t="s">
        <v>7533</v>
      </c>
      <c r="G2248" s="11"/>
      <c r="H2248" s="11"/>
      <c r="I2248" s="12">
        <v>0</v>
      </c>
      <c r="J2248" s="12">
        <v>1</v>
      </c>
      <c r="K2248" s="13" t="str">
        <f t="shared" si="509"/>
        <v>Twitter Web Client</v>
      </c>
      <c r="L2248" s="12">
        <v>421</v>
      </c>
      <c r="M2248" s="12">
        <v>423</v>
      </c>
      <c r="N2248" s="12">
        <v>8</v>
      </c>
      <c r="O2248" s="14"/>
      <c r="P2248" s="6">
        <v>40986.32503472222</v>
      </c>
      <c r="Q2248" s="15" t="s">
        <v>312</v>
      </c>
      <c r="R2248" s="17" t="s">
        <v>313</v>
      </c>
      <c r="S2248" s="11"/>
      <c r="T2248" s="11"/>
      <c r="U2248" s="10" t="str">
        <f>HYPERLINK("https://pbs.twimg.com/profile_images/1071355442616561664/eeWCMpph.jpg","View")</f>
        <v>View</v>
      </c>
    </row>
    <row r="2249" spans="1:21" ht="30.6">
      <c r="A2249" s="6">
        <v>43438.857337962967</v>
      </c>
      <c r="B2249" s="7" t="str">
        <f>HYPERLINK("https://twitter.com/marianollorente","@marianollorente")</f>
        <v>@marianollorente</v>
      </c>
      <c r="C2249" s="8" t="s">
        <v>7630</v>
      </c>
      <c r="D2249" s="9" t="s">
        <v>7631</v>
      </c>
      <c r="E2249" s="10" t="str">
        <f>HYPERLINK("https://twitter.com/marianollorente/status/1070038672567881728","1070038672567881728")</f>
        <v>1070038672567881728</v>
      </c>
      <c r="F2249" s="11"/>
      <c r="G2249" s="16" t="s">
        <v>7632</v>
      </c>
      <c r="H2249" s="11"/>
      <c r="I2249" s="12">
        <v>0</v>
      </c>
      <c r="J2249" s="12">
        <v>0</v>
      </c>
      <c r="K2249" s="13" t="str">
        <f t="shared" ref="K2249:K2250" si="510">HYPERLINK("http://twitter.com/download/android","Twitter for Android")</f>
        <v>Twitter for Android</v>
      </c>
      <c r="L2249" s="12">
        <v>1612</v>
      </c>
      <c r="M2249" s="12">
        <v>930</v>
      </c>
      <c r="N2249" s="12">
        <v>90</v>
      </c>
      <c r="O2249" s="14"/>
      <c r="P2249" s="6">
        <v>40494.513101851851</v>
      </c>
      <c r="Q2249" s="15" t="s">
        <v>197</v>
      </c>
      <c r="R2249" s="17" t="s">
        <v>7633</v>
      </c>
      <c r="S2249" s="16" t="s">
        <v>7634</v>
      </c>
      <c r="T2249" s="11"/>
      <c r="U2249" s="10" t="str">
        <f>HYPERLINK("https://pbs.twimg.com/profile_images/781594979600896000/4Y6MKSP5.jpg","View")</f>
        <v>View</v>
      </c>
    </row>
    <row r="2250" spans="1:21" ht="51">
      <c r="A2250" s="6">
        <v>43438.857268518521</v>
      </c>
      <c r="B2250" s="7" t="str">
        <f>HYPERLINK("https://twitter.com/alex_aramberri","@alex_aramberri")</f>
        <v>@alex_aramberri</v>
      </c>
      <c r="C2250" s="8" t="s">
        <v>1388</v>
      </c>
      <c r="D2250" s="9" t="s">
        <v>7635</v>
      </c>
      <c r="E2250" s="10" t="str">
        <f>HYPERLINK("https://twitter.com/alex_aramberri/status/1070038649117528064","1070038649117528064")</f>
        <v>1070038649117528064</v>
      </c>
      <c r="F2250" s="16" t="s">
        <v>1568</v>
      </c>
      <c r="G2250" s="11"/>
      <c r="H2250" s="11"/>
      <c r="I2250" s="12">
        <v>0</v>
      </c>
      <c r="J2250" s="12">
        <v>0</v>
      </c>
      <c r="K2250" s="13" t="str">
        <f t="shared" si="510"/>
        <v>Twitter for Android</v>
      </c>
      <c r="L2250" s="12">
        <v>127</v>
      </c>
      <c r="M2250" s="12">
        <v>145</v>
      </c>
      <c r="N2250" s="12">
        <v>0</v>
      </c>
      <c r="O2250" s="14"/>
      <c r="P2250" s="6">
        <v>42402.568090277782</v>
      </c>
      <c r="Q2250" s="11"/>
      <c r="R2250" s="18"/>
      <c r="S2250" s="11"/>
      <c r="T2250" s="11"/>
      <c r="U2250" s="10" t="str">
        <f>HYPERLINK("https://pbs.twimg.com/profile_images/694520077551583233/y9kWAzt4.jpg","View")</f>
        <v>View</v>
      </c>
    </row>
    <row r="2251" spans="1:21" ht="51">
      <c r="A2251" s="6">
        <v>43438.857048611113</v>
      </c>
      <c r="B2251" s="7" t="str">
        <f>HYPERLINK("https://twitter.com/elviejotaurino","@elviejotaurino")</f>
        <v>@elviejotaurino</v>
      </c>
      <c r="C2251" s="8" t="s">
        <v>7636</v>
      </c>
      <c r="D2251" s="9" t="s">
        <v>7637</v>
      </c>
      <c r="E2251" s="10" t="str">
        <f>HYPERLINK("https://twitter.com/elviejotaurino/status/1070038567714521088","1070038567714521088")</f>
        <v>1070038567714521088</v>
      </c>
      <c r="F2251" s="11"/>
      <c r="G2251" s="11"/>
      <c r="H2251" s="11"/>
      <c r="I2251" s="12">
        <v>0</v>
      </c>
      <c r="J2251" s="12">
        <v>1</v>
      </c>
      <c r="K2251" s="13" t="str">
        <f>HYPERLINK("http://twitter.com/download/iphone","Twitter for iPhone")</f>
        <v>Twitter for iPhone</v>
      </c>
      <c r="L2251" s="12">
        <v>1829</v>
      </c>
      <c r="M2251" s="12">
        <v>593</v>
      </c>
      <c r="N2251" s="12">
        <v>13</v>
      </c>
      <c r="O2251" s="14"/>
      <c r="P2251" s="6">
        <v>41295.778587962966</v>
      </c>
      <c r="Q2251" s="11"/>
      <c r="R2251" s="17" t="s">
        <v>7638</v>
      </c>
      <c r="S2251" s="11"/>
      <c r="T2251" s="11"/>
      <c r="U2251" s="10" t="str">
        <f>HYPERLINK("https://pbs.twimg.com/profile_images/3144357059/031cd3d49fcb2a84ee1695b8c5bf64e6.jpeg","View")</f>
        <v>View</v>
      </c>
    </row>
    <row r="2252" spans="1:21" ht="51">
      <c r="A2252" s="6">
        <v>43438.853113425925</v>
      </c>
      <c r="B2252" s="7" t="str">
        <f>HYPERLINK("https://twitter.com/AndresSanto_","@AndresSanto_")</f>
        <v>@AndresSanto_</v>
      </c>
      <c r="C2252" s="8" t="s">
        <v>5007</v>
      </c>
      <c r="D2252" s="9" t="s">
        <v>7639</v>
      </c>
      <c r="E2252" s="10" t="str">
        <f>HYPERLINK("https://twitter.com/AndresSanto_/status/1070037141634338817","1070037141634338817")</f>
        <v>1070037141634338817</v>
      </c>
      <c r="F2252" s="11"/>
      <c r="G2252" s="11"/>
      <c r="H2252" s="11"/>
      <c r="I2252" s="12">
        <v>1</v>
      </c>
      <c r="J2252" s="12">
        <v>3</v>
      </c>
      <c r="K2252" s="13" t="str">
        <f>HYPERLINK("http://twitter.com","Twitter Web Client")</f>
        <v>Twitter Web Client</v>
      </c>
      <c r="L2252" s="12">
        <v>2347</v>
      </c>
      <c r="M2252" s="12">
        <v>1778</v>
      </c>
      <c r="N2252" s="12">
        <v>68</v>
      </c>
      <c r="O2252" s="14"/>
      <c r="P2252" s="6">
        <v>40773.75135416667</v>
      </c>
      <c r="Q2252" s="15" t="s">
        <v>676</v>
      </c>
      <c r="R2252" s="17" t="s">
        <v>5010</v>
      </c>
      <c r="S2252" s="11"/>
      <c r="T2252" s="11"/>
      <c r="U2252" s="10" t="str">
        <f>HYPERLINK("https://pbs.twimg.com/profile_images/1062028217861709824/wyaW6mQk.jpg","View")</f>
        <v>View</v>
      </c>
    </row>
    <row r="2253" spans="1:21" ht="13.2">
      <c r="A2253" s="6">
        <v>43438.850590277776</v>
      </c>
      <c r="B2253" s="7" t="str">
        <f>HYPERLINK("https://twitter.com/sergioheras10","@sergioheras10")</f>
        <v>@sergioheras10</v>
      </c>
      <c r="C2253" s="8" t="s">
        <v>7640</v>
      </c>
      <c r="D2253" s="9" t="s">
        <v>7641</v>
      </c>
      <c r="E2253" s="10" t="str">
        <f>HYPERLINK("https://twitter.com/sergioheras10/status/1070036227972349953","1070036227972349953")</f>
        <v>1070036227972349953</v>
      </c>
      <c r="F2253" s="11"/>
      <c r="G2253" s="16" t="s">
        <v>7642</v>
      </c>
      <c r="H2253" s="11"/>
      <c r="I2253" s="12">
        <v>0</v>
      </c>
      <c r="J2253" s="12">
        <v>0</v>
      </c>
      <c r="K2253" s="13" t="str">
        <f>HYPERLINK("http://twitter.com/download/iphone","Twitter for iPhone")</f>
        <v>Twitter for iPhone</v>
      </c>
      <c r="L2253" s="12">
        <v>196</v>
      </c>
      <c r="M2253" s="12">
        <v>187</v>
      </c>
      <c r="N2253" s="12">
        <v>0</v>
      </c>
      <c r="O2253" s="14"/>
      <c r="P2253" s="6">
        <v>42078.894212962958</v>
      </c>
      <c r="Q2253" s="11"/>
      <c r="R2253" s="17" t="s">
        <v>7643</v>
      </c>
      <c r="S2253" s="11"/>
      <c r="T2253" s="11"/>
      <c r="U2253" s="10" t="str">
        <f>HYPERLINK("https://pbs.twimg.com/profile_images/1052364637004595201/VxF7EZq-.jpg","View")</f>
        <v>View</v>
      </c>
    </row>
    <row r="2254" spans="1:21" ht="40.799999999999997">
      <c r="A2254" s="6">
        <v>43438.84920138889</v>
      </c>
      <c r="B2254" s="7" t="str">
        <f>HYPERLINK("https://twitter.com/PpcaballosPepe","@PpcaballosPepe")</f>
        <v>@PpcaballosPepe</v>
      </c>
      <c r="C2254" s="8" t="s">
        <v>2035</v>
      </c>
      <c r="D2254" s="9" t="s">
        <v>7644</v>
      </c>
      <c r="E2254" s="10" t="str">
        <f>HYPERLINK("https://twitter.com/PpcaballosPepe/status/1070035724811022337","1070035724811022337")</f>
        <v>1070035724811022337</v>
      </c>
      <c r="F2254" s="16" t="s">
        <v>1568</v>
      </c>
      <c r="G2254" s="11"/>
      <c r="H2254" s="11"/>
      <c r="I2254" s="12">
        <v>0</v>
      </c>
      <c r="J2254" s="12">
        <v>0</v>
      </c>
      <c r="K2254" s="13" t="str">
        <f>HYPERLINK("http://twitter.com/download/android","Twitter for Android")</f>
        <v>Twitter for Android</v>
      </c>
      <c r="L2254" s="12">
        <v>71</v>
      </c>
      <c r="M2254" s="12">
        <v>205</v>
      </c>
      <c r="N2254" s="12">
        <v>0</v>
      </c>
      <c r="O2254" s="14"/>
      <c r="P2254" s="6">
        <v>40963.386145833334</v>
      </c>
      <c r="Q2254" s="11"/>
      <c r="R2254" s="17" t="s">
        <v>2038</v>
      </c>
      <c r="S2254" s="11"/>
      <c r="T2254" s="11"/>
      <c r="U2254" s="23" t="s">
        <v>437</v>
      </c>
    </row>
    <row r="2255" spans="1:21" ht="20.399999999999999">
      <c r="A2255" s="6">
        <v>43438.848078703704</v>
      </c>
      <c r="B2255" s="7" t="str">
        <f>HYPERLINK("https://twitter.com/GaryOak23043756","@GaryOak23043756")</f>
        <v>@GaryOak23043756</v>
      </c>
      <c r="C2255" s="8" t="s">
        <v>7645</v>
      </c>
      <c r="D2255" s="9" t="s">
        <v>7646</v>
      </c>
      <c r="E2255" s="10" t="str">
        <f>HYPERLINK("https://twitter.com/GaryOak23043756/status/1070035315191177222","1070035315191177222")</f>
        <v>1070035315191177222</v>
      </c>
      <c r="F2255" s="11"/>
      <c r="G2255" s="11"/>
      <c r="H2255" s="11"/>
      <c r="I2255" s="12">
        <v>0</v>
      </c>
      <c r="J2255" s="12">
        <v>0</v>
      </c>
      <c r="K2255" s="13" t="str">
        <f>HYPERLINK("http://twitter.com","Twitter Web Client")</f>
        <v>Twitter Web Client</v>
      </c>
      <c r="L2255" s="12">
        <v>1</v>
      </c>
      <c r="M2255" s="12">
        <v>12</v>
      </c>
      <c r="N2255" s="12">
        <v>0</v>
      </c>
      <c r="O2255" s="14"/>
      <c r="P2255" s="6">
        <v>43419.57309027778</v>
      </c>
      <c r="Q2255" s="11"/>
      <c r="R2255" s="18"/>
      <c r="S2255" s="11"/>
      <c r="T2255" s="11"/>
      <c r="U2255" s="10" t="str">
        <f>HYPERLINK("https://pbs.twimg.com/profile_images/1067540480685236226/bEevuTUm.jpg","View")</f>
        <v>View</v>
      </c>
    </row>
    <row r="2256" spans="1:21" ht="40.799999999999997">
      <c r="A2256" s="6">
        <v>43438.847881944443</v>
      </c>
      <c r="B2256" s="7" t="str">
        <f>HYPERLINK("https://twitter.com/ro_gl82","@ro_gl82")</f>
        <v>@ro_gl82</v>
      </c>
      <c r="C2256" s="8" t="s">
        <v>7647</v>
      </c>
      <c r="D2256" s="9" t="s">
        <v>7648</v>
      </c>
      <c r="E2256" s="10" t="str">
        <f>HYPERLINK("https://twitter.com/ro_gl82/status/1070035244189999110","1070035244189999110")</f>
        <v>1070035244189999110</v>
      </c>
      <c r="F2256" s="11"/>
      <c r="G2256" s="11"/>
      <c r="H2256" s="11"/>
      <c r="I2256" s="12">
        <v>0</v>
      </c>
      <c r="J2256" s="12">
        <v>0</v>
      </c>
      <c r="K2256" s="13" t="str">
        <f>HYPERLINK("http://twitter.com/download/iphone","Twitter for iPhone")</f>
        <v>Twitter for iPhone</v>
      </c>
      <c r="L2256" s="12">
        <v>1497</v>
      </c>
      <c r="M2256" s="12">
        <v>2591</v>
      </c>
      <c r="N2256" s="12">
        <v>8</v>
      </c>
      <c r="O2256" s="14"/>
      <c r="P2256" s="6">
        <v>40205.831435185188</v>
      </c>
      <c r="Q2256" s="15" t="s">
        <v>197</v>
      </c>
      <c r="R2256" s="17" t="s">
        <v>7649</v>
      </c>
      <c r="S2256" s="16" t="s">
        <v>7650</v>
      </c>
      <c r="T2256" s="11"/>
      <c r="U2256" s="10" t="str">
        <f>HYPERLINK("https://pbs.twimg.com/profile_images/1040600603993534465/u64Ixl_O.jpg","View")</f>
        <v>View</v>
      </c>
    </row>
    <row r="2257" spans="1:21" ht="20.399999999999999">
      <c r="A2257" s="6">
        <v>43438.846932870365</v>
      </c>
      <c r="B2257" s="7" t="str">
        <f>HYPERLINK("https://twitter.com/Trompeta36","@Trompeta36")</f>
        <v>@Trompeta36</v>
      </c>
      <c r="C2257" s="8" t="s">
        <v>7651</v>
      </c>
      <c r="D2257" s="9" t="s">
        <v>7652</v>
      </c>
      <c r="E2257" s="10" t="str">
        <f>HYPERLINK("https://twitter.com/Trompeta36/status/1070034899883778048","1070034899883778048")</f>
        <v>1070034899883778048</v>
      </c>
      <c r="F2257" s="16" t="s">
        <v>7653</v>
      </c>
      <c r="G2257" s="11"/>
      <c r="H2257" s="11"/>
      <c r="I2257" s="12">
        <v>0</v>
      </c>
      <c r="J2257" s="12">
        <v>0</v>
      </c>
      <c r="K2257" s="13" t="str">
        <f>HYPERLINK("http://www.facebook.com/twitter","Facebook")</f>
        <v>Facebook</v>
      </c>
      <c r="L2257" s="12">
        <v>2244</v>
      </c>
      <c r="M2257" s="12">
        <v>2948</v>
      </c>
      <c r="N2257" s="12">
        <v>21</v>
      </c>
      <c r="O2257" s="14"/>
      <c r="P2257" s="6">
        <v>40835.551631944443</v>
      </c>
      <c r="Q2257" s="15" t="s">
        <v>7654</v>
      </c>
      <c r="R2257" s="17" t="s">
        <v>7655</v>
      </c>
      <c r="S2257" s="11"/>
      <c r="T2257" s="11"/>
      <c r="U2257" s="10" t="str">
        <f>HYPERLINK("https://pbs.twimg.com/profile_images/723132334489346048/JJaObwC9.jpg","View")</f>
        <v>View</v>
      </c>
    </row>
    <row r="2258" spans="1:21" ht="30.6">
      <c r="A2258" s="6">
        <v>43438.846770833334</v>
      </c>
      <c r="B2258" s="7" t="str">
        <f>HYPERLINK("https://twitter.com/anarosaq","@anarosaq")</f>
        <v>@anarosaq</v>
      </c>
      <c r="C2258" s="8" t="s">
        <v>7656</v>
      </c>
      <c r="D2258" s="9" t="s">
        <v>7251</v>
      </c>
      <c r="E2258" s="10" t="str">
        <f>HYPERLINK("https://twitter.com/anarosaq/status/1070034841066983427","1070034841066983427")</f>
        <v>1070034841066983427</v>
      </c>
      <c r="F2258" s="11"/>
      <c r="G2258" s="11"/>
      <c r="H2258" s="11"/>
      <c r="I2258" s="12">
        <v>1650</v>
      </c>
      <c r="J2258" s="12">
        <v>3677</v>
      </c>
      <c r="K2258" s="13" t="str">
        <f>HYPERLINK("http://twitter.com/download/iphone","Twitter for iPhone")</f>
        <v>Twitter for iPhone</v>
      </c>
      <c r="L2258" s="12">
        <v>289725</v>
      </c>
      <c r="M2258" s="12">
        <v>754</v>
      </c>
      <c r="N2258" s="12">
        <v>1123</v>
      </c>
      <c r="O2258" s="23" t="s">
        <v>89</v>
      </c>
      <c r="P2258" s="6">
        <v>40642.563067129631</v>
      </c>
      <c r="Q2258" s="15" t="s">
        <v>612</v>
      </c>
      <c r="R2258" s="17" t="s">
        <v>7657</v>
      </c>
      <c r="S2258" s="11"/>
      <c r="T2258" s="11"/>
      <c r="U2258" s="10" t="str">
        <f>HYPERLINK("https://pbs.twimg.com/profile_images/731005745249013761/GAFgNK2f.jpg","View")</f>
        <v>View</v>
      </c>
    </row>
    <row r="2259" spans="1:21" ht="81.599999999999994">
      <c r="A2259" s="6">
        <v>43438.846296296295</v>
      </c>
      <c r="B2259" s="7" t="str">
        <f>HYPERLINK("https://twitter.com/pop84v","@pop84v")</f>
        <v>@pop84v</v>
      </c>
      <c r="C2259" s="8" t="s">
        <v>7658</v>
      </c>
      <c r="D2259" s="9" t="s">
        <v>7659</v>
      </c>
      <c r="E2259" s="10" t="str">
        <f>HYPERLINK("https://twitter.com/pop84v/status/1070034671029882880","1070034671029882880")</f>
        <v>1070034671029882880</v>
      </c>
      <c r="F2259" s="15" t="s">
        <v>7051</v>
      </c>
      <c r="G2259" s="11"/>
      <c r="H2259" s="11"/>
      <c r="I2259" s="12">
        <v>0</v>
      </c>
      <c r="J2259" s="12">
        <v>1</v>
      </c>
      <c r="K2259" s="13" t="str">
        <f>HYPERLINK("http://twitter.com/download/android","Twitter for Android")</f>
        <v>Twitter for Android</v>
      </c>
      <c r="L2259" s="12">
        <v>35</v>
      </c>
      <c r="M2259" s="12">
        <v>252</v>
      </c>
      <c r="N2259" s="12">
        <v>0</v>
      </c>
      <c r="O2259" s="14"/>
      <c r="P2259" s="6">
        <v>40997.914340277777</v>
      </c>
      <c r="Q2259" s="15" t="s">
        <v>2263</v>
      </c>
      <c r="R2259" s="18"/>
      <c r="S2259" s="11"/>
      <c r="T2259" s="11"/>
      <c r="U2259" s="10" t="str">
        <f>HYPERLINK("https://pbs.twimg.com/profile_images/1021454046761283584/1LiyxpPA.jpg","View")</f>
        <v>View</v>
      </c>
    </row>
    <row r="2260" spans="1:21" ht="30.6">
      <c r="A2260" s="6">
        <v>43438.844155092593</v>
      </c>
      <c r="B2260" s="7" t="str">
        <f>HYPERLINK("https://twitter.com/israellopeztv","@israellopeztv")</f>
        <v>@israellopeztv</v>
      </c>
      <c r="C2260" s="8" t="s">
        <v>7660</v>
      </c>
      <c r="D2260" s="9" t="s">
        <v>7661</v>
      </c>
      <c r="E2260" s="10" t="str">
        <f>HYPERLINK("https://twitter.com/israellopeztv/status/1070033893196218369","1070033893196218369")</f>
        <v>1070033893196218369</v>
      </c>
      <c r="F2260" s="16" t="s">
        <v>7662</v>
      </c>
      <c r="G2260" s="11"/>
      <c r="H2260" s="11"/>
      <c r="I2260" s="12">
        <v>10</v>
      </c>
      <c r="J2260" s="12">
        <v>36</v>
      </c>
      <c r="K2260" s="13" t="str">
        <f>HYPERLINK("http://twitter.com/download/iphone","Twitter for iPhone")</f>
        <v>Twitter for iPhone</v>
      </c>
      <c r="L2260" s="12">
        <v>2252</v>
      </c>
      <c r="M2260" s="12">
        <v>765</v>
      </c>
      <c r="N2260" s="12">
        <v>17</v>
      </c>
      <c r="O2260" s="14"/>
      <c r="P2260" s="6">
        <v>40829.917569444442</v>
      </c>
      <c r="Q2260" s="15" t="s">
        <v>612</v>
      </c>
      <c r="R2260" s="17" t="s">
        <v>7663</v>
      </c>
      <c r="S2260" s="11"/>
      <c r="T2260" s="11"/>
      <c r="U2260" s="10" t="str">
        <f>HYPERLINK("https://pbs.twimg.com/profile_images/1005047118850117637/IlkHD2LE.jpg","View")</f>
        <v>View</v>
      </c>
    </row>
    <row r="2261" spans="1:21" ht="61.2">
      <c r="A2261" s="6">
        <v>43438.842349537037</v>
      </c>
      <c r="B2261" s="7" t="str">
        <f>HYPERLINK("https://twitter.com/vox_es","@vox_es")</f>
        <v>@vox_es</v>
      </c>
      <c r="C2261" s="8" t="s">
        <v>3230</v>
      </c>
      <c r="D2261" s="9" t="s">
        <v>7664</v>
      </c>
      <c r="E2261" s="10" t="str">
        <f>HYPERLINK("https://twitter.com/vox_es/status/1070033239455207424","1070033239455207424")</f>
        <v>1070033239455207424</v>
      </c>
      <c r="F2261" s="15" t="s">
        <v>7051</v>
      </c>
      <c r="G2261" s="11"/>
      <c r="H2261" s="11"/>
      <c r="I2261" s="12">
        <v>1379</v>
      </c>
      <c r="J2261" s="12">
        <v>2380</v>
      </c>
      <c r="K2261" s="13" t="str">
        <f>HYPERLINK("http://twitter.com","Twitter Web Client")</f>
        <v>Twitter Web Client</v>
      </c>
      <c r="L2261" s="12">
        <v>147920</v>
      </c>
      <c r="M2261" s="12">
        <v>937</v>
      </c>
      <c r="N2261" s="12">
        <v>988</v>
      </c>
      <c r="O2261" s="23" t="s">
        <v>89</v>
      </c>
      <c r="P2261" s="6">
        <v>41596.746655092589</v>
      </c>
      <c r="Q2261" s="11"/>
      <c r="R2261" s="17" t="s">
        <v>3232</v>
      </c>
      <c r="S2261" s="16" t="s">
        <v>1740</v>
      </c>
      <c r="T2261" s="11"/>
      <c r="U2261" s="10" t="str">
        <f>HYPERLINK("https://pbs.twimg.com/profile_images/1016653788617363456/m3b3jqW5.jpg","View")</f>
        <v>View</v>
      </c>
    </row>
    <row r="2262" spans="1:21" ht="30.6">
      <c r="A2262" s="6">
        <v>43438.84039351852</v>
      </c>
      <c r="B2262" s="7" t="str">
        <f>HYPERLINK("https://twitter.com/MiguelAGBatista","@MiguelAGBatista")</f>
        <v>@MiguelAGBatista</v>
      </c>
      <c r="C2262" s="8" t="s">
        <v>1072</v>
      </c>
      <c r="D2262" s="9" t="s">
        <v>7665</v>
      </c>
      <c r="E2262" s="10" t="str">
        <f>HYPERLINK("https://twitter.com/MiguelAGBatista/status/1070032533637750786","1070032533637750786")</f>
        <v>1070032533637750786</v>
      </c>
      <c r="F2262" s="16" t="s">
        <v>7666</v>
      </c>
      <c r="G2262" s="11"/>
      <c r="H2262" s="11"/>
      <c r="I2262" s="12">
        <v>0</v>
      </c>
      <c r="J2262" s="12">
        <v>0</v>
      </c>
      <c r="K2262" s="13" t="str">
        <f>HYPERLINK("https://www.hootsuite.com","Hootsuite Inc.")</f>
        <v>Hootsuite Inc.</v>
      </c>
      <c r="L2262" s="12">
        <v>3066</v>
      </c>
      <c r="M2262" s="12">
        <v>2755</v>
      </c>
      <c r="N2262" s="12">
        <v>90</v>
      </c>
      <c r="O2262" s="14"/>
      <c r="P2262" s="6">
        <v>39928.688194444447</v>
      </c>
      <c r="Q2262" s="15" t="s">
        <v>1076</v>
      </c>
      <c r="R2262" s="17" t="s">
        <v>1077</v>
      </c>
      <c r="S2262" s="11"/>
      <c r="T2262" s="11"/>
      <c r="U2262" s="10" t="str">
        <f>HYPERLINK("https://pbs.twimg.com/profile_images/917118513151692801/H_YCvEKH.jpg","View")</f>
        <v>View</v>
      </c>
    </row>
    <row r="2263" spans="1:21" ht="40.799999999999997">
      <c r="A2263" s="6">
        <v>43438.838680555556</v>
      </c>
      <c r="B2263" s="7" t="str">
        <f>HYPERLINK("https://twitter.com/jmlopezzafra","@jmlopezzafra")</f>
        <v>@jmlopezzafra</v>
      </c>
      <c r="C2263" s="8" t="s">
        <v>7667</v>
      </c>
      <c r="D2263" s="9" t="s">
        <v>7668</v>
      </c>
      <c r="E2263" s="10" t="str">
        <f>HYPERLINK("https://twitter.com/jmlopezzafra/status/1070031912729788419","1070031912729788419")</f>
        <v>1070031912729788419</v>
      </c>
      <c r="F2263" s="16" t="s">
        <v>7669</v>
      </c>
      <c r="G2263" s="11"/>
      <c r="H2263" s="11"/>
      <c r="I2263" s="12">
        <v>7</v>
      </c>
      <c r="J2263" s="12">
        <v>9</v>
      </c>
      <c r="K2263" s="13" t="str">
        <f>HYPERLINK("http://twitter.com/download/iphone","Twitter for iPhone")</f>
        <v>Twitter for iPhone</v>
      </c>
      <c r="L2263" s="12">
        <v>20911</v>
      </c>
      <c r="M2263" s="12">
        <v>149</v>
      </c>
      <c r="N2263" s="12">
        <v>522</v>
      </c>
      <c r="O2263" s="14"/>
      <c r="P2263" s="6">
        <v>39826.849618055552</v>
      </c>
      <c r="Q2263" s="15" t="s">
        <v>7670</v>
      </c>
      <c r="R2263" s="17" t="s">
        <v>7671</v>
      </c>
      <c r="S2263" s="16" t="s">
        <v>7672</v>
      </c>
      <c r="T2263" s="11"/>
      <c r="U2263" s="10" t="str">
        <f>HYPERLINK("https://pbs.twimg.com/profile_images/788869816157347840/TM1rLNg3.jpg","View")</f>
        <v>View</v>
      </c>
    </row>
    <row r="2264" spans="1:21" ht="71.400000000000006">
      <c r="A2264" s="6">
        <v>43438.837337962963</v>
      </c>
      <c r="B2264" s="7" t="str">
        <f>HYPERLINK("https://twitter.com/lunadelsur2012","@lunadelsur2012")</f>
        <v>@lunadelsur2012</v>
      </c>
      <c r="C2264" s="8" t="s">
        <v>7673</v>
      </c>
      <c r="D2264" s="9" t="s">
        <v>7674</v>
      </c>
      <c r="E2264" s="10" t="str">
        <f>HYPERLINK("https://twitter.com/lunadelsur2012/status/1070031422839242752","1070031422839242752")</f>
        <v>1070031422839242752</v>
      </c>
      <c r="F2264" s="16" t="s">
        <v>7675</v>
      </c>
      <c r="G2264" s="11"/>
      <c r="H2264" s="11"/>
      <c r="I2264" s="12">
        <v>1</v>
      </c>
      <c r="J2264" s="12">
        <v>0</v>
      </c>
      <c r="K2264" s="13" t="str">
        <f>HYPERLINK("http://twitter.com/download/android","Twitter for Android")</f>
        <v>Twitter for Android</v>
      </c>
      <c r="L2264" s="12">
        <v>2605</v>
      </c>
      <c r="M2264" s="12">
        <v>2860</v>
      </c>
      <c r="N2264" s="12">
        <v>38</v>
      </c>
      <c r="O2264" s="14"/>
      <c r="P2264" s="6">
        <v>40883.927407407406</v>
      </c>
      <c r="Q2264" s="15" t="s">
        <v>7676</v>
      </c>
      <c r="R2264" s="17" t="s">
        <v>7677</v>
      </c>
      <c r="S2264" s="16" t="s">
        <v>7678</v>
      </c>
      <c r="T2264" s="11"/>
      <c r="U2264" s="10" t="str">
        <f>HYPERLINK("https://pbs.twimg.com/profile_images/1053763301325398016/q24Y065O.jpg","View")</f>
        <v>View</v>
      </c>
    </row>
    <row r="2265" spans="1:21" ht="20.399999999999999">
      <c r="A2265" s="6">
        <v>43438.835358796292</v>
      </c>
      <c r="B2265" s="7" t="str">
        <f>HYPERLINK("https://twitter.com/Lexucristo","@Lexucristo")</f>
        <v>@Lexucristo</v>
      </c>
      <c r="C2265" s="8" t="s">
        <v>7679</v>
      </c>
      <c r="D2265" s="9" t="s">
        <v>7680</v>
      </c>
      <c r="E2265" s="10" t="str">
        <f>HYPERLINK("https://twitter.com/Lexucristo/status/1070030706464706560","1070030706464706560")</f>
        <v>1070030706464706560</v>
      </c>
      <c r="F2265" s="11"/>
      <c r="G2265" s="11"/>
      <c r="H2265" s="11"/>
      <c r="I2265" s="12">
        <v>0</v>
      </c>
      <c r="J2265" s="12">
        <v>1</v>
      </c>
      <c r="K2265" s="13" t="str">
        <f>HYPERLINK("http://twitter.com","Twitter Web Client")</f>
        <v>Twitter Web Client</v>
      </c>
      <c r="L2265" s="12">
        <v>298</v>
      </c>
      <c r="M2265" s="12">
        <v>103</v>
      </c>
      <c r="N2265" s="12">
        <v>17</v>
      </c>
      <c r="O2265" s="14"/>
      <c r="P2265" s="6">
        <v>41324.060567129629</v>
      </c>
      <c r="Q2265" s="15" t="s">
        <v>7681</v>
      </c>
      <c r="R2265" s="17" t="s">
        <v>7682</v>
      </c>
      <c r="S2265" s="16" t="s">
        <v>7683</v>
      </c>
      <c r="T2265" s="11"/>
      <c r="U2265" s="10" t="str">
        <f>HYPERLINK("https://pbs.twimg.com/profile_images/1065607035289563136/NNfj-aRb.jpg","View")</f>
        <v>View</v>
      </c>
    </row>
    <row r="2266" spans="1:21" ht="51">
      <c r="A2266" s="6">
        <v>43438.834722222222</v>
      </c>
      <c r="B2266" s="7" t="str">
        <f>HYPERLINK("https://twitter.com/bitMomentum","@bitMomentum")</f>
        <v>@bitMomentum</v>
      </c>
      <c r="C2266" s="8" t="s">
        <v>82</v>
      </c>
      <c r="D2266" s="9" t="s">
        <v>7684</v>
      </c>
      <c r="E2266" s="10" t="str">
        <f>HYPERLINK("https://twitter.com/bitMomentum/status/1070030475325046785","1070030475325046785")</f>
        <v>1070030475325046785</v>
      </c>
      <c r="F2266" s="11"/>
      <c r="G2266" s="11"/>
      <c r="H2266" s="11"/>
      <c r="I2266" s="12">
        <v>0</v>
      </c>
      <c r="J2266" s="12">
        <v>0</v>
      </c>
      <c r="K2266" s="13" t="str">
        <f>HYPERLINK("http://www.bitmomentum.com","bitMomentum Bot")</f>
        <v>bitMomentum Bot</v>
      </c>
      <c r="L2266" s="12">
        <v>10253</v>
      </c>
      <c r="M2266" s="12">
        <v>1059</v>
      </c>
      <c r="N2266" s="12">
        <v>263</v>
      </c>
      <c r="O2266" s="14"/>
      <c r="P2266" s="6">
        <v>41608.667511574073</v>
      </c>
      <c r="Q2266" s="11"/>
      <c r="R2266" s="17" t="s">
        <v>84</v>
      </c>
      <c r="S2266" s="16" t="s">
        <v>85</v>
      </c>
      <c r="T2266" s="11"/>
      <c r="U2266" s="10" t="str">
        <f>HYPERLINK("https://pbs.twimg.com/profile_images/378800000862185241/20ij2H3u.png","View")</f>
        <v>View</v>
      </c>
    </row>
    <row r="2267" spans="1:21" ht="61.2">
      <c r="A2267" s="6">
        <v>43438.834282407406</v>
      </c>
      <c r="B2267" s="7" t="str">
        <f>HYPERLINK("https://twitter.com/DDPNacho","@DDPNacho")</f>
        <v>@DDPNacho</v>
      </c>
      <c r="C2267" s="8" t="s">
        <v>7685</v>
      </c>
      <c r="D2267" s="9" t="s">
        <v>7686</v>
      </c>
      <c r="E2267" s="10" t="str">
        <f>HYPERLINK("https://twitter.com/DDPNacho/status/1070030318147694592","1070030318147694592")</f>
        <v>1070030318147694592</v>
      </c>
      <c r="F2267" s="11"/>
      <c r="G2267" s="11"/>
      <c r="H2267" s="11"/>
      <c r="I2267" s="12">
        <v>4</v>
      </c>
      <c r="J2267" s="12">
        <v>14</v>
      </c>
      <c r="K2267" s="13" t="str">
        <f>HYPERLINK("http://twitter.com/download/android","Twitter for Android")</f>
        <v>Twitter for Android</v>
      </c>
      <c r="L2267" s="12">
        <v>3474</v>
      </c>
      <c r="M2267" s="12">
        <v>5000</v>
      </c>
      <c r="N2267" s="12">
        <v>9</v>
      </c>
      <c r="O2267" s="14"/>
      <c r="P2267" s="6">
        <v>40934.467418981483</v>
      </c>
      <c r="Q2267" s="15" t="s">
        <v>185</v>
      </c>
      <c r="R2267" s="17" t="s">
        <v>7687</v>
      </c>
      <c r="S2267" s="16" t="s">
        <v>7688</v>
      </c>
      <c r="T2267" s="11"/>
      <c r="U2267" s="10" t="str">
        <f>HYPERLINK("https://pbs.twimg.com/profile_images/1048166304459444224/XqxwnHoC.jpg","View")</f>
        <v>View</v>
      </c>
    </row>
    <row r="2268" spans="1:21" ht="51">
      <c r="A2268" s="6">
        <v>43438.834027777775</v>
      </c>
      <c r="B2268" s="7" t="str">
        <f>HYPERLINK("https://twitter.com/bitMomentum","@bitMomentum")</f>
        <v>@bitMomentum</v>
      </c>
      <c r="C2268" s="8" t="s">
        <v>82</v>
      </c>
      <c r="D2268" s="9" t="s">
        <v>7689</v>
      </c>
      <c r="E2268" s="10" t="str">
        <f>HYPERLINK("https://twitter.com/bitMomentum/status/1070030223662559233","1070030223662559233")</f>
        <v>1070030223662559233</v>
      </c>
      <c r="F2268" s="11"/>
      <c r="G2268" s="11"/>
      <c r="H2268" s="11"/>
      <c r="I2268" s="12">
        <v>1</v>
      </c>
      <c r="J2268" s="12">
        <v>2</v>
      </c>
      <c r="K2268" s="13" t="str">
        <f>HYPERLINK("http://www.bitmomentum.com","bitMomentum Bot")</f>
        <v>bitMomentum Bot</v>
      </c>
      <c r="L2268" s="12">
        <v>10253</v>
      </c>
      <c r="M2268" s="12">
        <v>1059</v>
      </c>
      <c r="N2268" s="12">
        <v>263</v>
      </c>
      <c r="O2268" s="14"/>
      <c r="P2268" s="6">
        <v>41608.667511574073</v>
      </c>
      <c r="Q2268" s="11"/>
      <c r="R2268" s="17" t="s">
        <v>84</v>
      </c>
      <c r="S2268" s="16" t="s">
        <v>85</v>
      </c>
      <c r="T2268" s="11"/>
      <c r="U2268" s="10" t="str">
        <f>HYPERLINK("https://pbs.twimg.com/profile_images/378800000862185241/20ij2H3u.png","View")</f>
        <v>View</v>
      </c>
    </row>
    <row r="2269" spans="1:21" ht="30.6">
      <c r="A2269" s="6">
        <v>43438.832627314812</v>
      </c>
      <c r="B2269" s="7" t="str">
        <f>HYPERLINK("https://twitter.com/ganeshita","@ganeshita")</f>
        <v>@ganeshita</v>
      </c>
      <c r="C2269" s="8" t="s">
        <v>7690</v>
      </c>
      <c r="D2269" s="9" t="s">
        <v>7691</v>
      </c>
      <c r="E2269" s="10" t="str">
        <f>HYPERLINK("https://twitter.com/ganeshita/status/1070029717426921473","1070029717426921473")</f>
        <v>1070029717426921473</v>
      </c>
      <c r="F2269" s="16" t="s">
        <v>7539</v>
      </c>
      <c r="G2269" s="11"/>
      <c r="H2269" s="11"/>
      <c r="I2269" s="12">
        <v>0</v>
      </c>
      <c r="J2269" s="12">
        <v>0</v>
      </c>
      <c r="K2269" s="13" t="str">
        <f>HYPERLINK("http://twitter.com","Twitter Web Client")</f>
        <v>Twitter Web Client</v>
      </c>
      <c r="L2269" s="12">
        <v>640</v>
      </c>
      <c r="M2269" s="12">
        <v>330</v>
      </c>
      <c r="N2269" s="12">
        <v>126</v>
      </c>
      <c r="O2269" s="14"/>
      <c r="P2269" s="6">
        <v>40506.651898148149</v>
      </c>
      <c r="Q2269" s="15" t="s">
        <v>612</v>
      </c>
      <c r="R2269" s="17" t="s">
        <v>7692</v>
      </c>
      <c r="S2269" s="11"/>
      <c r="T2269" s="11"/>
      <c r="U2269" s="10" t="str">
        <f>HYPERLINK("https://pbs.twimg.com/profile_images/378800000439972335/21d3f338229eeedb5e0f837e2931ea93.jpeg","View")</f>
        <v>View</v>
      </c>
    </row>
    <row r="2270" spans="1:21" ht="30.6">
      <c r="A2270" s="6">
        <v>43438.832175925927</v>
      </c>
      <c r="B2270" s="7" t="str">
        <f>HYPERLINK("https://twitter.com/publico_es","@publico_es")</f>
        <v>@publico_es</v>
      </c>
      <c r="C2270" s="8" t="s">
        <v>7693</v>
      </c>
      <c r="D2270" s="9" t="s">
        <v>7691</v>
      </c>
      <c r="E2270" s="10" t="str">
        <f>HYPERLINK("https://twitter.com/publico_es/status/1070029553874026496","1070029553874026496")</f>
        <v>1070029553874026496</v>
      </c>
      <c r="F2270" s="16" t="s">
        <v>7539</v>
      </c>
      <c r="G2270" s="16" t="s">
        <v>7694</v>
      </c>
      <c r="H2270" s="11"/>
      <c r="I2270" s="12">
        <v>20</v>
      </c>
      <c r="J2270" s="12">
        <v>16</v>
      </c>
      <c r="K2270" s="13" t="str">
        <f>HYPERLINK("http://snappytv.com","SnappyTV.com")</f>
        <v>SnappyTV.com</v>
      </c>
      <c r="L2270" s="12">
        <v>913667</v>
      </c>
      <c r="M2270" s="12">
        <v>1457</v>
      </c>
      <c r="N2270" s="12">
        <v>14850</v>
      </c>
      <c r="O2270" s="23" t="s">
        <v>89</v>
      </c>
      <c r="P2270" s="6">
        <v>39779.559525462959</v>
      </c>
      <c r="Q2270" s="15" t="s">
        <v>501</v>
      </c>
      <c r="R2270" s="17" t="s">
        <v>7695</v>
      </c>
      <c r="S2270" s="16" t="s">
        <v>7696</v>
      </c>
      <c r="T2270" s="11"/>
      <c r="U2270" s="10" t="str">
        <f>HYPERLINK("https://pbs.twimg.com/profile_images/1048242435682422786/FdzZWHU8.jpg","View")</f>
        <v>View</v>
      </c>
    </row>
    <row r="2271" spans="1:21" ht="61.2">
      <c r="A2271" s="6">
        <v>43438.831319444449</v>
      </c>
      <c r="B2271" s="7" t="str">
        <f>HYPERLINK("https://twitter.com/Angel_Esojo","@Angel_Esojo")</f>
        <v>@Angel_Esojo</v>
      </c>
      <c r="C2271" s="8" t="s">
        <v>7168</v>
      </c>
      <c r="D2271" s="9" t="s">
        <v>7697</v>
      </c>
      <c r="E2271" s="10" t="str">
        <f>HYPERLINK("https://twitter.com/Angel_Esojo/status/1070029243600551936","1070029243600551936")</f>
        <v>1070029243600551936</v>
      </c>
      <c r="F2271" s="11"/>
      <c r="G2271" s="16" t="s">
        <v>7698</v>
      </c>
      <c r="H2271" s="11"/>
      <c r="I2271" s="12">
        <v>0</v>
      </c>
      <c r="J2271" s="12">
        <v>0</v>
      </c>
      <c r="K2271" s="13" t="str">
        <f>HYPERLINK("http://twitter.com/download/iphone","Twitter for iPhone")</f>
        <v>Twitter for iPhone</v>
      </c>
      <c r="L2271" s="12">
        <v>3589</v>
      </c>
      <c r="M2271" s="12">
        <v>793</v>
      </c>
      <c r="N2271" s="12">
        <v>102</v>
      </c>
      <c r="O2271" s="14"/>
      <c r="P2271" s="6">
        <v>40814.799351851849</v>
      </c>
      <c r="Q2271" s="15" t="s">
        <v>4785</v>
      </c>
      <c r="R2271" s="17" t="s">
        <v>7172</v>
      </c>
      <c r="S2271" s="16" t="s">
        <v>7173</v>
      </c>
      <c r="T2271" s="11"/>
      <c r="U2271" s="10" t="str">
        <f>HYPERLINK("https://pbs.twimg.com/profile_images/988732473734565888/27MAMcVF.jpg","View")</f>
        <v>View</v>
      </c>
    </row>
    <row r="2272" spans="1:21" ht="51">
      <c r="A2272" s="6">
        <v>43438.831261574072</v>
      </c>
      <c r="B2272" s="7" t="str">
        <f>HYPERLINK("https://twitter.com/mabellogar","@mabellogar")</f>
        <v>@mabellogar</v>
      </c>
      <c r="C2272" s="8" t="s">
        <v>7699</v>
      </c>
      <c r="D2272" s="9" t="s">
        <v>7700</v>
      </c>
      <c r="E2272" s="10" t="str">
        <f>HYPERLINK("https://twitter.com/mabellogar/status/1070029222779981825","1070029222779981825")</f>
        <v>1070029222779981825</v>
      </c>
      <c r="F2272" s="16" t="s">
        <v>7701</v>
      </c>
      <c r="G2272" s="11"/>
      <c r="H2272" s="11"/>
      <c r="I2272" s="12">
        <v>60</v>
      </c>
      <c r="J2272" s="12">
        <v>71</v>
      </c>
      <c r="K2272" s="13" t="str">
        <f>HYPERLINK("http://twitter.com/download/android","Twitter for Android")</f>
        <v>Twitter for Android</v>
      </c>
      <c r="L2272" s="12">
        <v>1765</v>
      </c>
      <c r="M2272" s="12">
        <v>1825</v>
      </c>
      <c r="N2272" s="12">
        <v>43</v>
      </c>
      <c r="O2272" s="14"/>
      <c r="P2272" s="6">
        <v>42420.950428240743</v>
      </c>
      <c r="Q2272" s="15" t="s">
        <v>185</v>
      </c>
      <c r="R2272" s="17" t="s">
        <v>7702</v>
      </c>
      <c r="S2272" s="11"/>
      <c r="T2272" s="11"/>
      <c r="U2272" s="10" t="str">
        <f>HYPERLINK("https://pbs.twimg.com/profile_images/1053598701711699968/RjkgmNP4.jpg","View")</f>
        <v>View</v>
      </c>
    </row>
    <row r="2273" spans="1:21" ht="61.2">
      <c r="A2273" s="6">
        <v>43438.830717592587</v>
      </c>
      <c r="B2273" s="7" t="str">
        <f>HYPERLINK("https://twitter.com/24LV4","@24LV4")</f>
        <v>@24LV4</v>
      </c>
      <c r="C2273" s="8" t="s">
        <v>7703</v>
      </c>
      <c r="D2273" s="9" t="s">
        <v>7704</v>
      </c>
      <c r="E2273" s="10" t="str">
        <f>HYPERLINK("https://twitter.com/24LV4/status/1070029024439779334","1070029024439779334")</f>
        <v>1070029024439779334</v>
      </c>
      <c r="F2273" s="16" t="s">
        <v>7705</v>
      </c>
      <c r="G2273" s="16" t="s">
        <v>7706</v>
      </c>
      <c r="H2273" s="11"/>
      <c r="I2273" s="12">
        <v>1</v>
      </c>
      <c r="J2273" s="12">
        <v>4</v>
      </c>
      <c r="K2273" s="13" t="str">
        <f>HYPERLINK("http://twitter.com","Twitter Web Client")</f>
        <v>Twitter Web Client</v>
      </c>
      <c r="L2273" s="12">
        <v>382</v>
      </c>
      <c r="M2273" s="12">
        <v>1319</v>
      </c>
      <c r="N2273" s="12">
        <v>14</v>
      </c>
      <c r="O2273" s="14"/>
      <c r="P2273" s="6">
        <v>41364.387604166666</v>
      </c>
      <c r="Q2273" s="15" t="s">
        <v>7707</v>
      </c>
      <c r="R2273" s="18"/>
      <c r="S2273" s="11"/>
      <c r="T2273" s="11"/>
      <c r="U2273" s="10" t="str">
        <f>HYPERLINK("https://pbs.twimg.com/profile_images/1046151302441562114/77GCVZgQ.jpg","View")</f>
        <v>View</v>
      </c>
    </row>
    <row r="2274" spans="1:21" ht="40.799999999999997">
      <c r="A2274" s="6">
        <v>43438.830601851849</v>
      </c>
      <c r="B2274" s="7" t="str">
        <f>HYPERLINK("https://twitter.com/ElBucaro4","@ElBucaro4")</f>
        <v>@ElBucaro4</v>
      </c>
      <c r="C2274" s="8" t="s">
        <v>7708</v>
      </c>
      <c r="D2274" s="9" t="s">
        <v>7709</v>
      </c>
      <c r="E2274" s="10" t="str">
        <f>HYPERLINK("https://twitter.com/ElBucaro4/status/1070028985487253504","1070028985487253504")</f>
        <v>1070028985487253504</v>
      </c>
      <c r="F2274" s="16" t="s">
        <v>7710</v>
      </c>
      <c r="G2274" s="11"/>
      <c r="H2274" s="11"/>
      <c r="I2274" s="12">
        <v>0</v>
      </c>
      <c r="J2274" s="12">
        <v>1</v>
      </c>
      <c r="K2274" s="13" t="str">
        <f>HYPERLINK("http://twitter.com/download/android","Twitter for Android")</f>
        <v>Twitter for Android</v>
      </c>
      <c r="L2274" s="12">
        <v>11</v>
      </c>
      <c r="M2274" s="12">
        <v>23</v>
      </c>
      <c r="N2274" s="12">
        <v>0</v>
      </c>
      <c r="O2274" s="14"/>
      <c r="P2274" s="6">
        <v>43327.095300925925</v>
      </c>
      <c r="Q2274" s="15" t="s">
        <v>1048</v>
      </c>
      <c r="R2274" s="18"/>
      <c r="S2274" s="11"/>
      <c r="T2274" s="11"/>
      <c r="U2274" s="10" t="str">
        <f>HYPERLINK("https://pbs.twimg.com/profile_images/1029672140935782400/spMkvGPD.jpg","View")</f>
        <v>View</v>
      </c>
    </row>
    <row r="2275" spans="1:21" ht="61.2">
      <c r="A2275" s="6">
        <v>43438.829108796301</v>
      </c>
      <c r="B2275" s="7" t="str">
        <f>HYPERLINK("https://twitter.com/CARLJOHNSONMAD2","@CARLJOHNSONMAD2")</f>
        <v>@CARLJOHNSONMAD2</v>
      </c>
      <c r="C2275" s="8" t="s">
        <v>5972</v>
      </c>
      <c r="D2275" s="9" t="s">
        <v>7711</v>
      </c>
      <c r="E2275" s="10" t="str">
        <f>HYPERLINK("https://twitter.com/CARLJOHNSONMAD2/status/1070028441410568192","1070028441410568192")</f>
        <v>1070028441410568192</v>
      </c>
      <c r="F2275" s="16" t="s">
        <v>7712</v>
      </c>
      <c r="G2275" s="11"/>
      <c r="H2275" s="11"/>
      <c r="I2275" s="12">
        <v>0</v>
      </c>
      <c r="J2275" s="12">
        <v>0</v>
      </c>
      <c r="K2275" s="13" t="str">
        <f>HYPERLINK("https://mobile.twitter.com","Twitter Lite")</f>
        <v>Twitter Lite</v>
      </c>
      <c r="L2275" s="12">
        <v>139</v>
      </c>
      <c r="M2275" s="12">
        <v>14</v>
      </c>
      <c r="N2275" s="12">
        <v>2</v>
      </c>
      <c r="O2275" s="14"/>
      <c r="P2275" s="6">
        <v>43033.451562499999</v>
      </c>
      <c r="Q2275" s="11"/>
      <c r="R2275" s="18"/>
      <c r="S2275" s="11"/>
      <c r="T2275" s="11"/>
      <c r="U2275" s="10" t="str">
        <f>HYPERLINK("https://pbs.twimg.com/profile_images/972904998764937221/40Yl4xSe.jpg","View")</f>
        <v>View</v>
      </c>
    </row>
    <row r="2276" spans="1:21" ht="61.2">
      <c r="A2276" s="6">
        <v>43438.827523148153</v>
      </c>
      <c r="B2276" s="7" t="str">
        <f>HYPERLINK("https://twitter.com/casos_Aislados2","@casos_Aislados2")</f>
        <v>@casos_Aislados2</v>
      </c>
      <c r="C2276" s="8" t="s">
        <v>7713</v>
      </c>
      <c r="D2276" s="9" t="s">
        <v>7714</v>
      </c>
      <c r="E2276" s="10" t="str">
        <f>HYPERLINK("https://twitter.com/casos_Aislados2/status/1070027867059314688","1070027867059314688")</f>
        <v>1070027867059314688</v>
      </c>
      <c r="F2276" s="16" t="s">
        <v>7715</v>
      </c>
      <c r="G2276" s="11"/>
      <c r="H2276" s="11"/>
      <c r="I2276" s="12">
        <v>0</v>
      </c>
      <c r="J2276" s="12">
        <v>0</v>
      </c>
      <c r="K2276" s="13" t="str">
        <f t="shared" ref="K2276:K2277" si="511">HYPERLINK("http://twitter.com/download/android","Twitter for Android")</f>
        <v>Twitter for Android</v>
      </c>
      <c r="L2276" s="12">
        <v>62</v>
      </c>
      <c r="M2276" s="12">
        <v>224</v>
      </c>
      <c r="N2276" s="12">
        <v>0</v>
      </c>
      <c r="O2276" s="14"/>
      <c r="P2276" s="6">
        <v>42660.728125000001</v>
      </c>
      <c r="Q2276" s="11"/>
      <c r="R2276" s="17" t="s">
        <v>7716</v>
      </c>
      <c r="S2276" s="11"/>
      <c r="T2276" s="11"/>
      <c r="U2276" s="10" t="str">
        <f>HYPERLINK("https://pbs.twimg.com/profile_images/1026152752186118145/h_3tXbWO.jpg","View")</f>
        <v>View</v>
      </c>
    </row>
    <row r="2277" spans="1:21" ht="51">
      <c r="A2277" s="6">
        <v>43438.825185185182</v>
      </c>
      <c r="B2277" s="7" t="str">
        <f>HYPERLINK("https://twitter.com/UlisesGamez10","@UlisesGamez10")</f>
        <v>@UlisesGamez10</v>
      </c>
      <c r="C2277" s="8" t="s">
        <v>233</v>
      </c>
      <c r="D2277" s="9" t="s">
        <v>7717</v>
      </c>
      <c r="E2277" s="10" t="str">
        <f>HYPERLINK("https://twitter.com/UlisesGamez10/status/1070027020082532353","1070027020082532353")</f>
        <v>1070027020082532353</v>
      </c>
      <c r="F2277" s="11"/>
      <c r="G2277" s="11"/>
      <c r="H2277" s="11"/>
      <c r="I2277" s="12">
        <v>0</v>
      </c>
      <c r="J2277" s="12">
        <v>0</v>
      </c>
      <c r="K2277" s="13" t="str">
        <f t="shared" si="511"/>
        <v>Twitter for Android</v>
      </c>
      <c r="L2277" s="12">
        <v>1184</v>
      </c>
      <c r="M2277" s="12">
        <v>5002</v>
      </c>
      <c r="N2277" s="12">
        <v>0</v>
      </c>
      <c r="O2277" s="14"/>
      <c r="P2277" s="6">
        <v>43190.59783564815</v>
      </c>
      <c r="Q2277" s="15" t="s">
        <v>236</v>
      </c>
      <c r="R2277" s="17" t="s">
        <v>237</v>
      </c>
      <c r="S2277" s="11"/>
      <c r="T2277" s="11"/>
      <c r="U2277" s="10" t="str">
        <f>HYPERLINK("https://pbs.twimg.com/profile_images/1068881444196499456/MCgxp2WR.jpg","View")</f>
        <v>View</v>
      </c>
    </row>
    <row r="2278" spans="1:21" ht="40.799999999999997">
      <c r="A2278" s="6">
        <v>43438.824016203704</v>
      </c>
      <c r="B2278" s="7" t="str">
        <f>HYPERLINK("https://twitter.com/Mariango999","@Mariango999")</f>
        <v>@Mariango999</v>
      </c>
      <c r="C2278" s="8" t="s">
        <v>6320</v>
      </c>
      <c r="D2278" s="9" t="s">
        <v>7718</v>
      </c>
      <c r="E2278" s="10" t="str">
        <f>HYPERLINK("https://twitter.com/Mariango999/status/1070026596621406209","1070026596621406209")</f>
        <v>1070026596621406209</v>
      </c>
      <c r="F2278" s="11"/>
      <c r="G2278" s="11"/>
      <c r="H2278" s="11"/>
      <c r="I2278" s="12">
        <v>0</v>
      </c>
      <c r="J2278" s="12">
        <v>0</v>
      </c>
      <c r="K2278" s="13" t="str">
        <f>HYPERLINK("http://twitter.com","Twitter Web Client")</f>
        <v>Twitter Web Client</v>
      </c>
      <c r="L2278" s="12">
        <v>9</v>
      </c>
      <c r="M2278" s="12">
        <v>30</v>
      </c>
      <c r="N2278" s="12">
        <v>0</v>
      </c>
      <c r="O2278" s="14"/>
      <c r="P2278" s="6">
        <v>43025.730636574073</v>
      </c>
      <c r="Q2278" s="15" t="s">
        <v>7719</v>
      </c>
      <c r="R2278" s="17" t="s">
        <v>7720</v>
      </c>
      <c r="S2278" s="11"/>
      <c r="T2278" s="11"/>
      <c r="U2278" s="10" t="str">
        <f>HYPERLINK("https://pbs.twimg.com/profile_images/920317768649596928/9ANLPq8J.jpg","View")</f>
        <v>View</v>
      </c>
    </row>
    <row r="2279" spans="1:21" ht="40.799999999999997">
      <c r="A2279" s="6">
        <v>43438.823020833333</v>
      </c>
      <c r="B2279" s="7" t="str">
        <f>HYPERLINK("https://twitter.com/Maria_IglesiasC","@Maria_IglesiasC")</f>
        <v>@Maria_IglesiasC</v>
      </c>
      <c r="C2279" s="8" t="s">
        <v>7721</v>
      </c>
      <c r="D2279" s="9" t="s">
        <v>7722</v>
      </c>
      <c r="E2279" s="10" t="str">
        <f>HYPERLINK("https://twitter.com/Maria_IglesiasC/status/1070026236137758720","1070026236137758720")</f>
        <v>1070026236137758720</v>
      </c>
      <c r="F2279" s="11"/>
      <c r="G2279" s="11"/>
      <c r="H2279" s="11"/>
      <c r="I2279" s="12">
        <v>1</v>
      </c>
      <c r="J2279" s="12">
        <v>3</v>
      </c>
      <c r="K2279" s="13" t="str">
        <f>HYPERLINK("http://twitter.com/download/iphone","Twitter for iPhone")</f>
        <v>Twitter for iPhone</v>
      </c>
      <c r="L2279" s="12">
        <v>84</v>
      </c>
      <c r="M2279" s="12">
        <v>223</v>
      </c>
      <c r="N2279" s="12">
        <v>1</v>
      </c>
      <c r="O2279" s="14"/>
      <c r="P2279" s="6">
        <v>43271.511030092588</v>
      </c>
      <c r="Q2279" s="11"/>
      <c r="R2279" s="17" t="s">
        <v>7723</v>
      </c>
      <c r="S2279" s="16" t="s">
        <v>7724</v>
      </c>
      <c r="T2279" s="11"/>
      <c r="U2279" s="10" t="str">
        <f>HYPERLINK("https://pbs.twimg.com/profile_images/1009380536920543232/VT-1fa-4.jpg","View")</f>
        <v>View</v>
      </c>
    </row>
    <row r="2280" spans="1:21" ht="40.799999999999997">
      <c r="A2280" s="6">
        <v>43438.817025462966</v>
      </c>
      <c r="B2280" s="7" t="str">
        <f>HYPERLINK("https://twitter.com/Emerigildo1","@Emerigildo1")</f>
        <v>@Emerigildo1</v>
      </c>
      <c r="C2280" s="8" t="s">
        <v>7725</v>
      </c>
      <c r="D2280" s="9" t="s">
        <v>7726</v>
      </c>
      <c r="E2280" s="10" t="str">
        <f>HYPERLINK("https://twitter.com/Emerigildo1/status/1070024062322335746","1070024062322335746")</f>
        <v>1070024062322335746</v>
      </c>
      <c r="F2280" s="11"/>
      <c r="G2280" s="16" t="s">
        <v>7727</v>
      </c>
      <c r="H2280" s="11"/>
      <c r="I2280" s="12">
        <v>1</v>
      </c>
      <c r="J2280" s="12">
        <v>1</v>
      </c>
      <c r="K2280" s="13" t="str">
        <f t="shared" ref="K2280:K2281" si="512">HYPERLINK("http://twitter.com/download/android","Twitter for Android")</f>
        <v>Twitter for Android</v>
      </c>
      <c r="L2280" s="12">
        <v>0</v>
      </c>
      <c r="M2280" s="12">
        <v>39</v>
      </c>
      <c r="N2280" s="12">
        <v>0</v>
      </c>
      <c r="O2280" s="14"/>
      <c r="P2280" s="6">
        <v>42985.938252314816</v>
      </c>
      <c r="Q2280" s="11"/>
      <c r="R2280" s="18"/>
      <c r="S2280" s="11"/>
      <c r="T2280" s="11"/>
      <c r="U2280" s="10" t="str">
        <f>HYPERLINK("https://pbs.twimg.com/profile_images/1051884939568959488/TN_-zKhi.jpg","View")</f>
        <v>View</v>
      </c>
    </row>
    <row r="2281" spans="1:21" ht="30.6">
      <c r="A2281" s="6">
        <v>43438.816388888888</v>
      </c>
      <c r="B2281" s="7" t="str">
        <f>HYPERLINK("https://twitter.com/PCojonciano","@PCojonciano")</f>
        <v>@PCojonciano</v>
      </c>
      <c r="C2281" s="8" t="s">
        <v>7728</v>
      </c>
      <c r="D2281" s="9" t="s">
        <v>7729</v>
      </c>
      <c r="E2281" s="10" t="str">
        <f>HYPERLINK("https://twitter.com/PCojonciano/status/1070023831274876928","1070023831274876928")</f>
        <v>1070023831274876928</v>
      </c>
      <c r="F2281" s="11"/>
      <c r="G2281" s="16" t="s">
        <v>7730</v>
      </c>
      <c r="H2281" s="11"/>
      <c r="I2281" s="12">
        <v>0</v>
      </c>
      <c r="J2281" s="12">
        <v>3</v>
      </c>
      <c r="K2281" s="13" t="str">
        <f t="shared" si="512"/>
        <v>Twitter for Android</v>
      </c>
      <c r="L2281" s="12">
        <v>349</v>
      </c>
      <c r="M2281" s="12">
        <v>185</v>
      </c>
      <c r="N2281" s="12">
        <v>5</v>
      </c>
      <c r="O2281" s="14"/>
      <c r="P2281" s="6">
        <v>42011.675347222219</v>
      </c>
      <c r="Q2281" s="15" t="s">
        <v>7731</v>
      </c>
      <c r="R2281" s="17" t="s">
        <v>7732</v>
      </c>
      <c r="S2281" s="11"/>
      <c r="T2281" s="11"/>
      <c r="U2281" s="10" t="str">
        <f>HYPERLINK("https://pbs.twimg.com/profile_images/552846030564114432/8qtlaiEC.jpeg","View")</f>
        <v>View</v>
      </c>
    </row>
    <row r="2282" spans="1:21" ht="51">
      <c r="A2282" s="6">
        <v>43438.815706018519</v>
      </c>
      <c r="B2282" s="7" t="str">
        <f>HYPERLINK("https://twitter.com/PGarmell","@PGarmell")</f>
        <v>@PGarmell</v>
      </c>
      <c r="C2282" s="8" t="s">
        <v>7733</v>
      </c>
      <c r="D2282" s="9" t="s">
        <v>7734</v>
      </c>
      <c r="E2282" s="10" t="str">
        <f>HYPERLINK("https://twitter.com/PGarmell/status/1070023586130395136","1070023586130395136")</f>
        <v>1070023586130395136</v>
      </c>
      <c r="F2282" s="11"/>
      <c r="G2282" s="11"/>
      <c r="H2282" s="11"/>
      <c r="I2282" s="12">
        <v>0</v>
      </c>
      <c r="J2282" s="12">
        <v>0</v>
      </c>
      <c r="K2282" s="13" t="str">
        <f>HYPERLINK("http://twitter.com","Twitter Web Client")</f>
        <v>Twitter Web Client</v>
      </c>
      <c r="L2282" s="12">
        <v>25</v>
      </c>
      <c r="M2282" s="12">
        <v>96</v>
      </c>
      <c r="N2282" s="12">
        <v>0</v>
      </c>
      <c r="O2282" s="14"/>
      <c r="P2282" s="6">
        <v>43420.569328703699</v>
      </c>
      <c r="Q2282" s="11"/>
      <c r="R2282" s="18"/>
      <c r="S2282" s="11"/>
      <c r="T2282" s="11"/>
      <c r="U2282" s="10" t="str">
        <f>HYPERLINK("https://pbs.twimg.com/profile_images/1063517934780391425/Keu1EI7w.jpg","View")</f>
        <v>View</v>
      </c>
    </row>
    <row r="2283" spans="1:21" ht="51">
      <c r="A2283" s="6">
        <v>43438.815335648149</v>
      </c>
      <c r="B2283" s="7" t="str">
        <f>HYPERLINK("https://twitter.com/Kzanova_","@Kzanova_")</f>
        <v>@Kzanova_</v>
      </c>
      <c r="C2283" s="8" t="s">
        <v>7735</v>
      </c>
      <c r="D2283" s="9" t="s">
        <v>7736</v>
      </c>
      <c r="E2283" s="10" t="str">
        <f>HYPERLINK("https://twitter.com/Kzanova_/status/1070023453158359040","1070023453158359040")</f>
        <v>1070023453158359040</v>
      </c>
      <c r="F2283" s="11"/>
      <c r="G2283" s="11"/>
      <c r="H2283" s="11"/>
      <c r="I2283" s="12">
        <v>0</v>
      </c>
      <c r="J2283" s="12">
        <v>0</v>
      </c>
      <c r="K2283" s="13" t="str">
        <f>HYPERLINK("https://mobile.twitter.com","Twitter Lite")</f>
        <v>Twitter Lite</v>
      </c>
      <c r="L2283" s="12">
        <v>861</v>
      </c>
      <c r="M2283" s="12">
        <v>1361</v>
      </c>
      <c r="N2283" s="12">
        <v>13</v>
      </c>
      <c r="O2283" s="14"/>
      <c r="P2283" s="6">
        <v>40155.252986111111</v>
      </c>
      <c r="Q2283" s="15" t="s">
        <v>7737</v>
      </c>
      <c r="R2283" s="17" t="s">
        <v>7738</v>
      </c>
      <c r="S2283" s="16" t="s">
        <v>7739</v>
      </c>
      <c r="T2283" s="11"/>
      <c r="U2283" s="10" t="str">
        <f>HYPERLINK("https://pbs.twimg.com/profile_images/597754664633901056/n_T1A6Kq.jpg","View")</f>
        <v>View</v>
      </c>
    </row>
    <row r="2284" spans="1:21" ht="51">
      <c r="A2284" s="6">
        <v>43438.815185185187</v>
      </c>
      <c r="B2284" s="7" t="str">
        <f>HYPERLINK("https://twitter.com/jbonR","@jbonR")</f>
        <v>@jbonR</v>
      </c>
      <c r="C2284" s="8" t="s">
        <v>7740</v>
      </c>
      <c r="D2284" s="9" t="s">
        <v>7741</v>
      </c>
      <c r="E2284" s="10" t="str">
        <f>HYPERLINK("https://twitter.com/jbonR/status/1070023395214008320","1070023395214008320")</f>
        <v>1070023395214008320</v>
      </c>
      <c r="F2284" s="11"/>
      <c r="G2284" s="16" t="s">
        <v>7742</v>
      </c>
      <c r="H2284" s="11"/>
      <c r="I2284" s="12">
        <v>7</v>
      </c>
      <c r="J2284" s="12">
        <v>5</v>
      </c>
      <c r="K2284" s="13" t="str">
        <f>HYPERLINK("http://twitter.com/#!/download/ipad","Twitter for iPad")</f>
        <v>Twitter for iPad</v>
      </c>
      <c r="L2284" s="12">
        <v>6392</v>
      </c>
      <c r="M2284" s="12">
        <v>6951</v>
      </c>
      <c r="N2284" s="12">
        <v>13</v>
      </c>
      <c r="O2284" s="14"/>
      <c r="P2284" s="6">
        <v>40661.765370370369</v>
      </c>
      <c r="Q2284" s="11"/>
      <c r="R2284" s="17" t="s">
        <v>7743</v>
      </c>
      <c r="S2284" s="11"/>
      <c r="T2284" s="11"/>
      <c r="U2284" s="10" t="str">
        <f>HYPERLINK("https://pbs.twimg.com/profile_images/1330504714/Ojo_de_Horus.jpg","View")</f>
        <v>View</v>
      </c>
    </row>
    <row r="2285" spans="1:21" ht="51">
      <c r="A2285" s="6">
        <v>43438.813402777778</v>
      </c>
      <c r="B2285" s="7" t="str">
        <f>HYPERLINK("https://twitter.com/rafahusqvarna16","@rafahusqvarna16")</f>
        <v>@rafahusqvarna16</v>
      </c>
      <c r="C2285" s="8" t="s">
        <v>7744</v>
      </c>
      <c r="D2285" s="9" t="s">
        <v>7745</v>
      </c>
      <c r="E2285" s="10" t="str">
        <f>HYPERLINK("https://twitter.com/rafahusqvarna16/status/1070022751241547777","1070022751241547777")</f>
        <v>1070022751241547777</v>
      </c>
      <c r="F2285" s="16" t="s">
        <v>7746</v>
      </c>
      <c r="G2285" s="11"/>
      <c r="H2285" s="11"/>
      <c r="I2285" s="12">
        <v>1</v>
      </c>
      <c r="J2285" s="12">
        <v>1</v>
      </c>
      <c r="K2285" s="13" t="str">
        <f>HYPERLINK("http://twitter.com/download/android","Twitter for Android")</f>
        <v>Twitter for Android</v>
      </c>
      <c r="L2285" s="12">
        <v>925</v>
      </c>
      <c r="M2285" s="12">
        <v>867</v>
      </c>
      <c r="N2285" s="12">
        <v>6</v>
      </c>
      <c r="O2285" s="14"/>
      <c r="P2285" s="6">
        <v>42967.960405092592</v>
      </c>
      <c r="Q2285" s="15" t="s">
        <v>1815</v>
      </c>
      <c r="R2285" s="17" t="s">
        <v>7747</v>
      </c>
      <c r="S2285" s="11"/>
      <c r="T2285" s="11"/>
      <c r="U2285" s="10" t="str">
        <f>HYPERLINK("https://pbs.twimg.com/profile_images/1051776344479191041/Y96s7xrD.jpg","View")</f>
        <v>View</v>
      </c>
    </row>
    <row r="2286" spans="1:21" ht="51">
      <c r="A2286" s="6">
        <v>43438.813263888893</v>
      </c>
      <c r="B2286" s="7" t="str">
        <f>HYPERLINK("https://twitter.com/SergiPuyol","@SergiPuyol")</f>
        <v>@SergiPuyol</v>
      </c>
      <c r="C2286" s="8" t="s">
        <v>7748</v>
      </c>
      <c r="D2286" s="9" t="s">
        <v>7749</v>
      </c>
      <c r="E2286" s="10" t="str">
        <f>HYPERLINK("https://twitter.com/SergiPuyol/status/1070022698481401856","1070022698481401856")</f>
        <v>1070022698481401856</v>
      </c>
      <c r="F2286" s="11"/>
      <c r="G2286" s="11"/>
      <c r="H2286" s="11"/>
      <c r="I2286" s="12">
        <v>0</v>
      </c>
      <c r="J2286" s="12">
        <v>0</v>
      </c>
      <c r="K2286" s="13" t="str">
        <f>HYPERLINK("https://mobile.twitter.com","Twitter Lite")</f>
        <v>Twitter Lite</v>
      </c>
      <c r="L2286" s="12">
        <v>34</v>
      </c>
      <c r="M2286" s="12">
        <v>232</v>
      </c>
      <c r="N2286" s="12">
        <v>0</v>
      </c>
      <c r="O2286" s="14"/>
      <c r="P2286" s="6">
        <v>43382.826319444444</v>
      </c>
      <c r="Q2286" s="15" t="s">
        <v>986</v>
      </c>
      <c r="R2286" s="17" t="s">
        <v>7748</v>
      </c>
      <c r="S2286" s="11"/>
      <c r="T2286" s="11"/>
      <c r="U2286" s="10" t="str">
        <f>HYPERLINK("https://pbs.twimg.com/profile_images/1066279947180879872/H1bj9slu.jpg","View")</f>
        <v>View</v>
      </c>
    </row>
    <row r="2287" spans="1:21" ht="51">
      <c r="A2287" s="6">
        <v>43438.8125</v>
      </c>
      <c r="B2287" s="7" t="str">
        <f>HYPERLINK("https://twitter.com/indpcom","@indpcom")</f>
        <v>@indpcom</v>
      </c>
      <c r="C2287" s="8" t="s">
        <v>207</v>
      </c>
      <c r="D2287" s="9" t="s">
        <v>7750</v>
      </c>
      <c r="E2287" s="10" t="str">
        <f>HYPERLINK("https://twitter.com/indpcom/status/1070022424555532288","1070022424555532288")</f>
        <v>1070022424555532288</v>
      </c>
      <c r="F2287" s="16" t="s">
        <v>7751</v>
      </c>
      <c r="G2287" s="11"/>
      <c r="H2287" s="11"/>
      <c r="I2287" s="12">
        <v>19</v>
      </c>
      <c r="J2287" s="12">
        <v>29</v>
      </c>
      <c r="K2287" s="13" t="str">
        <f>HYPERLINK("https://about.twitter.com/products/tweetdeck","TweetDeck")</f>
        <v>TweetDeck</v>
      </c>
      <c r="L2287" s="12">
        <v>59371</v>
      </c>
      <c r="M2287" s="12">
        <v>1310</v>
      </c>
      <c r="N2287" s="12">
        <v>1116</v>
      </c>
      <c r="O2287" s="23" t="s">
        <v>89</v>
      </c>
      <c r="P2287" s="6">
        <v>42537.702719907407</v>
      </c>
      <c r="Q2287" s="15" t="s">
        <v>185</v>
      </c>
      <c r="R2287" s="17" t="s">
        <v>210</v>
      </c>
      <c r="S2287" s="16" t="s">
        <v>211</v>
      </c>
      <c r="T2287" s="11"/>
      <c r="U2287" s="10" t="str">
        <f>HYPERLINK("https://pbs.twimg.com/profile_images/773807977069420544/o4tNI4zQ.jpg","View")</f>
        <v>View</v>
      </c>
    </row>
    <row r="2288" spans="1:21" ht="30.6">
      <c r="A2288" s="6">
        <v>43438.812118055561</v>
      </c>
      <c r="B2288" s="7" t="str">
        <f>HYPERLINK("https://twitter.com/zarza67","@zarza67")</f>
        <v>@zarza67</v>
      </c>
      <c r="C2288" s="8" t="s">
        <v>7752</v>
      </c>
      <c r="D2288" s="9" t="s">
        <v>7753</v>
      </c>
      <c r="E2288" s="10" t="str">
        <f>HYPERLINK("https://twitter.com/zarza67/status/1070022283467595776","1070022283467595776")</f>
        <v>1070022283467595776</v>
      </c>
      <c r="F2288" s="11"/>
      <c r="G2288" s="11"/>
      <c r="H2288" s="11"/>
      <c r="I2288" s="12">
        <v>0</v>
      </c>
      <c r="J2288" s="12">
        <v>1</v>
      </c>
      <c r="K2288" s="13" t="str">
        <f>HYPERLINK("http://twitter.com/download/iphone","Twitter for iPhone")</f>
        <v>Twitter for iPhone</v>
      </c>
      <c r="L2288" s="12">
        <v>225</v>
      </c>
      <c r="M2288" s="12">
        <v>517</v>
      </c>
      <c r="N2288" s="12">
        <v>6</v>
      </c>
      <c r="O2288" s="14"/>
      <c r="P2288" s="6">
        <v>40802.690844907411</v>
      </c>
      <c r="Q2288" s="15" t="s">
        <v>7754</v>
      </c>
      <c r="R2288" s="17" t="s">
        <v>7755</v>
      </c>
      <c r="S2288" s="11"/>
      <c r="T2288" s="11"/>
      <c r="U2288" s="10" t="str">
        <f>HYPERLINK("https://pbs.twimg.com/profile_images/411994660668579840/oaBOBUhd.jpeg","View")</f>
        <v>View</v>
      </c>
    </row>
    <row r="2289" spans="1:21" ht="30.6">
      <c r="A2289" s="6">
        <v>43438.812118055561</v>
      </c>
      <c r="B2289" s="7" t="str">
        <f>HYPERLINK("https://twitter.com/Redoblando_","@Redoblando_")</f>
        <v>@Redoblando_</v>
      </c>
      <c r="C2289" s="8" t="s">
        <v>7756</v>
      </c>
      <c r="D2289" s="9" t="s">
        <v>7757</v>
      </c>
      <c r="E2289" s="10" t="str">
        <f>HYPERLINK("https://twitter.com/Redoblando_/status/1070022283316600832","1070022283316600832")</f>
        <v>1070022283316600832</v>
      </c>
      <c r="F2289" s="11"/>
      <c r="G2289" s="16" t="s">
        <v>7758</v>
      </c>
      <c r="H2289" s="11"/>
      <c r="I2289" s="12">
        <v>1</v>
      </c>
      <c r="J2289" s="12">
        <v>2</v>
      </c>
      <c r="K2289" s="13" t="str">
        <f t="shared" ref="K2289:K2291" si="513">HYPERLINK("http://twitter.com/download/android","Twitter for Android")</f>
        <v>Twitter for Android</v>
      </c>
      <c r="L2289" s="12">
        <v>190</v>
      </c>
      <c r="M2289" s="12">
        <v>752</v>
      </c>
      <c r="N2289" s="12">
        <v>0</v>
      </c>
      <c r="O2289" s="14"/>
      <c r="P2289" s="6">
        <v>42823.676412037035</v>
      </c>
      <c r="Q2289" s="15" t="s">
        <v>724</v>
      </c>
      <c r="R2289" s="17" t="s">
        <v>7759</v>
      </c>
      <c r="S2289" s="11"/>
      <c r="T2289" s="11"/>
      <c r="U2289" s="10" t="str">
        <f>HYPERLINK("https://pbs.twimg.com/profile_images/957396448097767425/7UEKT5Dc.jpg","View")</f>
        <v>View</v>
      </c>
    </row>
    <row r="2290" spans="1:21" ht="40.799999999999997">
      <c r="A2290" s="6">
        <v>43438.810335648144</v>
      </c>
      <c r="B2290" s="7" t="str">
        <f>HYPERLINK("https://twitter.com/UlisesGamez10","@UlisesGamez10")</f>
        <v>@UlisesGamez10</v>
      </c>
      <c r="C2290" s="8" t="s">
        <v>233</v>
      </c>
      <c r="D2290" s="9" t="s">
        <v>7760</v>
      </c>
      <c r="E2290" s="10" t="str">
        <f>HYPERLINK("https://twitter.com/UlisesGamez10/status/1070021640539525120","1070021640539525120")</f>
        <v>1070021640539525120</v>
      </c>
      <c r="F2290" s="11"/>
      <c r="G2290" s="16" t="s">
        <v>7761</v>
      </c>
      <c r="H2290" s="11"/>
      <c r="I2290" s="12">
        <v>0</v>
      </c>
      <c r="J2290" s="12">
        <v>0</v>
      </c>
      <c r="K2290" s="13" t="str">
        <f t="shared" si="513"/>
        <v>Twitter for Android</v>
      </c>
      <c r="L2290" s="12">
        <v>1184</v>
      </c>
      <c r="M2290" s="12">
        <v>5002</v>
      </c>
      <c r="N2290" s="12">
        <v>0</v>
      </c>
      <c r="O2290" s="14"/>
      <c r="P2290" s="6">
        <v>43190.59783564815</v>
      </c>
      <c r="Q2290" s="15" t="s">
        <v>236</v>
      </c>
      <c r="R2290" s="17" t="s">
        <v>237</v>
      </c>
      <c r="S2290" s="11"/>
      <c r="T2290" s="11"/>
      <c r="U2290" s="10" t="str">
        <f>HYPERLINK("https://pbs.twimg.com/profile_images/1068881444196499456/MCgxp2WR.jpg","View")</f>
        <v>View</v>
      </c>
    </row>
    <row r="2291" spans="1:21" ht="30.6">
      <c r="A2291" s="6">
        <v>43438.808981481481</v>
      </c>
      <c r="B2291" s="7" t="str">
        <f>HYPERLINK("https://twitter.com/quecar_","@quecar_")</f>
        <v>@quecar_</v>
      </c>
      <c r="C2291" s="8" t="s">
        <v>7762</v>
      </c>
      <c r="D2291" s="9" t="s">
        <v>7763</v>
      </c>
      <c r="E2291" s="10" t="str">
        <f>HYPERLINK("https://twitter.com/quecar_/status/1070021148224700417","1070021148224700417")</f>
        <v>1070021148224700417</v>
      </c>
      <c r="F2291" s="11"/>
      <c r="G2291" s="11"/>
      <c r="H2291" s="11"/>
      <c r="I2291" s="12">
        <v>0</v>
      </c>
      <c r="J2291" s="12">
        <v>0</v>
      </c>
      <c r="K2291" s="13" t="str">
        <f t="shared" si="513"/>
        <v>Twitter for Android</v>
      </c>
      <c r="L2291" s="12">
        <v>247</v>
      </c>
      <c r="M2291" s="12">
        <v>210</v>
      </c>
      <c r="N2291" s="12">
        <v>2</v>
      </c>
      <c r="O2291" s="14"/>
      <c r="P2291" s="6">
        <v>41171.951238425929</v>
      </c>
      <c r="Q2291" s="15" t="s">
        <v>1470</v>
      </c>
      <c r="R2291" s="17" t="s">
        <v>7764</v>
      </c>
      <c r="S2291" s="11"/>
      <c r="T2291" s="11"/>
      <c r="U2291" s="10" t="str">
        <f>HYPERLINK("https://pbs.twimg.com/profile_images/1030096962912231426/GBxHoCnH.jpg","View")</f>
        <v>View</v>
      </c>
    </row>
    <row r="2292" spans="1:21" ht="20.399999999999999">
      <c r="A2292" s="6">
        <v>43438.80667824074</v>
      </c>
      <c r="B2292" s="7" t="str">
        <f>HYPERLINK("https://twitter.com/JorgeGarcs8","@JorgeGarcs8")</f>
        <v>@JorgeGarcs8</v>
      </c>
      <c r="C2292" s="8" t="s">
        <v>7765</v>
      </c>
      <c r="D2292" s="9" t="s">
        <v>7766</v>
      </c>
      <c r="E2292" s="10" t="str">
        <f>HYPERLINK("https://twitter.com/JorgeGarcs8/status/1070020314065747968","1070020314065747968")</f>
        <v>1070020314065747968</v>
      </c>
      <c r="F2292" s="16" t="s">
        <v>2088</v>
      </c>
      <c r="G2292" s="11"/>
      <c r="H2292" s="11"/>
      <c r="I2292" s="12">
        <v>0</v>
      </c>
      <c r="J2292" s="12">
        <v>0</v>
      </c>
      <c r="K2292" s="13" t="str">
        <f>HYPERLINK("http://twitter.com","Twitter Web Client")</f>
        <v>Twitter Web Client</v>
      </c>
      <c r="L2292" s="12">
        <v>177</v>
      </c>
      <c r="M2292" s="12">
        <v>330</v>
      </c>
      <c r="N2292" s="12">
        <v>3</v>
      </c>
      <c r="O2292" s="14"/>
      <c r="P2292" s="6">
        <v>42609.743055555555</v>
      </c>
      <c r="Q2292" s="15" t="s">
        <v>7767</v>
      </c>
      <c r="R2292" s="17" t="s">
        <v>7768</v>
      </c>
      <c r="S2292" s="11"/>
      <c r="T2292" s="11"/>
      <c r="U2292" s="10" t="str">
        <f>HYPERLINK("https://pbs.twimg.com/profile_images/769564537443979264/D4uLst5y.jpg","View")</f>
        <v>View</v>
      </c>
    </row>
    <row r="2293" spans="1:21" ht="30.6">
      <c r="A2293" s="6">
        <v>43438.806585648148</v>
      </c>
      <c r="B2293" s="7" t="str">
        <f>HYPERLINK("https://twitter.com/ERNESTO_VLC","@ERNESTO_VLC")</f>
        <v>@ERNESTO_VLC</v>
      </c>
      <c r="C2293" s="8" t="s">
        <v>7769</v>
      </c>
      <c r="D2293" s="9" t="s">
        <v>7770</v>
      </c>
      <c r="E2293" s="10" t="str">
        <f>HYPERLINK("https://twitter.com/ERNESTO_VLC/status/1070020281291468800","1070020281291468800")</f>
        <v>1070020281291468800</v>
      </c>
      <c r="F2293" s="11"/>
      <c r="G2293" s="11"/>
      <c r="H2293" s="11"/>
      <c r="I2293" s="12">
        <v>0</v>
      </c>
      <c r="J2293" s="12">
        <v>2</v>
      </c>
      <c r="K2293" s="13" t="str">
        <f>HYPERLINK("http://twitter.com/download/iphone","Twitter for iPhone")</f>
        <v>Twitter for iPhone</v>
      </c>
      <c r="L2293" s="12">
        <v>42</v>
      </c>
      <c r="M2293" s="12">
        <v>131</v>
      </c>
      <c r="N2293" s="12">
        <v>1</v>
      </c>
      <c r="O2293" s="14"/>
      <c r="P2293" s="6">
        <v>40942.85533564815</v>
      </c>
      <c r="Q2293" s="15" t="s">
        <v>7771</v>
      </c>
      <c r="R2293" s="18"/>
      <c r="S2293" s="11"/>
      <c r="T2293" s="11"/>
      <c r="U2293" s="10" t="str">
        <f>HYPERLINK("https://pbs.twimg.com/profile_images/1030759411659288576/-3J-fyrq.jpg","View")</f>
        <v>View</v>
      </c>
    </row>
    <row r="2294" spans="1:21" ht="81.599999999999994">
      <c r="A2294" s="6">
        <v>43438.805127314816</v>
      </c>
      <c r="B2294" s="7" t="str">
        <f>HYPERLINK("https://twitter.com/TeresaCereijo","@TeresaCereijo")</f>
        <v>@TeresaCereijo</v>
      </c>
      <c r="C2294" s="8" t="s">
        <v>7772</v>
      </c>
      <c r="D2294" s="9" t="s">
        <v>7773</v>
      </c>
      <c r="E2294" s="10" t="str">
        <f>HYPERLINK("https://twitter.com/TeresaCereijo/status/1070019752310042624","1070019752310042624")</f>
        <v>1070019752310042624</v>
      </c>
      <c r="F2294" s="16" t="s">
        <v>43</v>
      </c>
      <c r="G2294" s="11"/>
      <c r="H2294" s="11"/>
      <c r="I2294" s="12">
        <v>0</v>
      </c>
      <c r="J2294" s="12">
        <v>0</v>
      </c>
      <c r="K2294" s="13" t="str">
        <f>HYPERLINK("http://twitter.com/download/android","Twitter for Android")</f>
        <v>Twitter for Android</v>
      </c>
      <c r="L2294" s="12">
        <v>91</v>
      </c>
      <c r="M2294" s="12">
        <v>174</v>
      </c>
      <c r="N2294" s="12">
        <v>0</v>
      </c>
      <c r="O2294" s="14"/>
      <c r="P2294" s="6">
        <v>41304.793298611112</v>
      </c>
      <c r="Q2294" s="15" t="s">
        <v>5130</v>
      </c>
      <c r="R2294" s="18"/>
      <c r="S2294" s="11"/>
      <c r="T2294" s="11"/>
      <c r="U2294" s="10" t="str">
        <f>HYPERLINK("https://pbs.twimg.com/profile_images/993837800117166081/5wBj9YiD.jpg","View")</f>
        <v>View</v>
      </c>
    </row>
    <row r="2295" spans="1:21" ht="30.6">
      <c r="A2295" s="6">
        <v>43438.804861111115</v>
      </c>
      <c r="B2295" s="7" t="str">
        <f>HYPERLINK("https://twitter.com/publico_es","@publico_es")</f>
        <v>@publico_es</v>
      </c>
      <c r="C2295" s="8" t="s">
        <v>7693</v>
      </c>
      <c r="D2295" s="9" t="s">
        <v>7774</v>
      </c>
      <c r="E2295" s="10" t="str">
        <f>HYPERLINK("https://twitter.com/publico_es/status/1070019655002075136","1070019655002075136")</f>
        <v>1070019655002075136</v>
      </c>
      <c r="F2295" s="16" t="s">
        <v>7775</v>
      </c>
      <c r="G2295" s="11"/>
      <c r="H2295" s="11"/>
      <c r="I2295" s="12">
        <v>46</v>
      </c>
      <c r="J2295" s="12">
        <v>38</v>
      </c>
      <c r="K2295" s="13" t="str">
        <f>HYPERLINK("https://about.twitter.com/products/tweetdeck","TweetDeck")</f>
        <v>TweetDeck</v>
      </c>
      <c r="L2295" s="12">
        <v>913667</v>
      </c>
      <c r="M2295" s="12">
        <v>1457</v>
      </c>
      <c r="N2295" s="12">
        <v>14850</v>
      </c>
      <c r="O2295" s="23" t="s">
        <v>89</v>
      </c>
      <c r="P2295" s="6">
        <v>39779.559525462959</v>
      </c>
      <c r="Q2295" s="15" t="s">
        <v>501</v>
      </c>
      <c r="R2295" s="17" t="s">
        <v>7695</v>
      </c>
      <c r="S2295" s="16" t="s">
        <v>7696</v>
      </c>
      <c r="T2295" s="11"/>
      <c r="U2295" s="10" t="str">
        <f>HYPERLINK("https://pbs.twimg.com/profile_images/1048242435682422786/FdzZWHU8.jpg","View")</f>
        <v>View</v>
      </c>
    </row>
    <row r="2296" spans="1:21" ht="81.599999999999994">
      <c r="A2296" s="6">
        <v>43438.804560185185</v>
      </c>
      <c r="B2296" s="7" t="str">
        <f>HYPERLINK("https://twitter.com/_A_Zero","@_A_Zero")</f>
        <v>@_A_Zero</v>
      </c>
      <c r="C2296" s="8" t="s">
        <v>7776</v>
      </c>
      <c r="D2296" s="9" t="s">
        <v>7777</v>
      </c>
      <c r="E2296" s="10" t="str">
        <f>HYPERLINK("https://twitter.com/_A_Zero/status/1070019547225358337","1070019547225358337")</f>
        <v>1070019547225358337</v>
      </c>
      <c r="F2296" s="15" t="s">
        <v>7778</v>
      </c>
      <c r="G2296" s="11"/>
      <c r="H2296" s="11"/>
      <c r="I2296" s="12">
        <v>66</v>
      </c>
      <c r="J2296" s="12">
        <v>78</v>
      </c>
      <c r="K2296" s="13" t="str">
        <f t="shared" ref="K2296:K2297" si="514">HYPERLINK("http://twitter.com/download/android","Twitter for Android")</f>
        <v>Twitter for Android</v>
      </c>
      <c r="L2296" s="12">
        <v>3827</v>
      </c>
      <c r="M2296" s="12">
        <v>4995</v>
      </c>
      <c r="N2296" s="12">
        <v>4</v>
      </c>
      <c r="O2296" s="14"/>
      <c r="P2296" s="6">
        <v>42905.394884259258</v>
      </c>
      <c r="Q2296" s="15" t="s">
        <v>197</v>
      </c>
      <c r="R2296" s="17" t="s">
        <v>7779</v>
      </c>
      <c r="S2296" s="11"/>
      <c r="T2296" s="11"/>
      <c r="U2296" s="10" t="str">
        <f>HYPERLINK("https://pbs.twimg.com/profile_images/1068903160759103488/CYNLa8WO.jpg","View")</f>
        <v>View</v>
      </c>
    </row>
    <row r="2297" spans="1:21" ht="40.799999999999997">
      <c r="A2297" s="6">
        <v>43438.802187499998</v>
      </c>
      <c r="B2297" s="7" t="str">
        <f>HYPERLINK("https://twitter.com/golorico","@golorico")</f>
        <v>@golorico</v>
      </c>
      <c r="C2297" s="8" t="s">
        <v>3395</v>
      </c>
      <c r="D2297" s="9" t="s">
        <v>7780</v>
      </c>
      <c r="E2297" s="10" t="str">
        <f>HYPERLINK("https://twitter.com/golorico/status/1070018685681704960","1070018685681704960")</f>
        <v>1070018685681704960</v>
      </c>
      <c r="F2297" s="15" t="s">
        <v>7781</v>
      </c>
      <c r="G2297" s="11"/>
      <c r="H2297" s="11"/>
      <c r="I2297" s="12">
        <v>0</v>
      </c>
      <c r="J2297" s="12">
        <v>0</v>
      </c>
      <c r="K2297" s="13" t="str">
        <f t="shared" si="514"/>
        <v>Twitter for Android</v>
      </c>
      <c r="L2297" s="12">
        <v>2919</v>
      </c>
      <c r="M2297" s="12">
        <v>3865</v>
      </c>
      <c r="N2297" s="12">
        <v>60</v>
      </c>
      <c r="O2297" s="14"/>
      <c r="P2297" s="6">
        <v>40866.586539351854</v>
      </c>
      <c r="Q2297" s="11"/>
      <c r="R2297" s="17" t="s">
        <v>3398</v>
      </c>
      <c r="S2297" s="11"/>
      <c r="T2297" s="11"/>
      <c r="U2297" s="10" t="str">
        <f>HYPERLINK("https://pbs.twimg.com/profile_images/883382841232457728/MvxBb_dd.jpg","View")</f>
        <v>View</v>
      </c>
    </row>
    <row r="2298" spans="1:21" ht="13.2">
      <c r="A2298" s="6">
        <v>43438.800555555557</v>
      </c>
      <c r="B2298" s="7" t="str">
        <f>HYPERLINK("https://twitter.com/smayo68","@smayo68")</f>
        <v>@smayo68</v>
      </c>
      <c r="C2298" s="8" t="s">
        <v>7782</v>
      </c>
      <c r="D2298" s="9" t="s">
        <v>7783</v>
      </c>
      <c r="E2298" s="10" t="str">
        <f>HYPERLINK("https://twitter.com/smayo68/status/1070018094913986560","1070018094913986560")</f>
        <v>1070018094913986560</v>
      </c>
      <c r="F2298" s="11"/>
      <c r="G2298" s="16" t="s">
        <v>7784</v>
      </c>
      <c r="H2298" s="11"/>
      <c r="I2298" s="12">
        <v>0</v>
      </c>
      <c r="J2298" s="12">
        <v>0</v>
      </c>
      <c r="K2298" s="13" t="str">
        <f t="shared" ref="K2298:K2299" si="515">HYPERLINK("http://twitter.com","Twitter Web Client")</f>
        <v>Twitter Web Client</v>
      </c>
      <c r="L2298" s="12">
        <v>9</v>
      </c>
      <c r="M2298" s="12">
        <v>48</v>
      </c>
      <c r="N2298" s="12">
        <v>0</v>
      </c>
      <c r="O2298" s="14"/>
      <c r="P2298" s="6">
        <v>43387.942453703705</v>
      </c>
      <c r="Q2298" s="15" t="s">
        <v>7785</v>
      </c>
      <c r="R2298" s="17" t="s">
        <v>7786</v>
      </c>
      <c r="S2298" s="11"/>
      <c r="T2298" s="11"/>
      <c r="U2298" s="10" t="str">
        <f>HYPERLINK("https://pbs.twimg.com/profile_images/1056841387105312768/T7GwslNj.jpg","View")</f>
        <v>View</v>
      </c>
    </row>
    <row r="2299" spans="1:21" ht="51">
      <c r="A2299" s="6">
        <v>43438.798773148148</v>
      </c>
      <c r="B2299" s="7" t="str">
        <f>HYPERLINK("https://twitter.com/fcomartnez","@fcomartnez")</f>
        <v>@fcomartnez</v>
      </c>
      <c r="C2299" s="8" t="s">
        <v>3081</v>
      </c>
      <c r="D2299" s="9" t="s">
        <v>7787</v>
      </c>
      <c r="E2299" s="10" t="str">
        <f>HYPERLINK("https://twitter.com/fcomartnez/status/1070017447216988161","1070017447216988161")</f>
        <v>1070017447216988161</v>
      </c>
      <c r="F2299" s="16" t="s">
        <v>7788</v>
      </c>
      <c r="G2299" s="11"/>
      <c r="H2299" s="11"/>
      <c r="I2299" s="12">
        <v>2</v>
      </c>
      <c r="J2299" s="12">
        <v>1</v>
      </c>
      <c r="K2299" s="13" t="str">
        <f t="shared" si="515"/>
        <v>Twitter Web Client</v>
      </c>
      <c r="L2299" s="12">
        <v>2840</v>
      </c>
      <c r="M2299" s="12">
        <v>2839</v>
      </c>
      <c r="N2299" s="12">
        <v>15</v>
      </c>
      <c r="O2299" s="14"/>
      <c r="P2299" s="6">
        <v>40682.76059027778</v>
      </c>
      <c r="Q2299" s="15" t="s">
        <v>197</v>
      </c>
      <c r="R2299" s="17" t="s">
        <v>3084</v>
      </c>
      <c r="S2299" s="11"/>
      <c r="T2299" s="11"/>
      <c r="U2299" s="10" t="str">
        <f>HYPERLINK("https://pbs.twimg.com/profile_images/1537287110/twentti.jpg","View")</f>
        <v>View</v>
      </c>
    </row>
    <row r="2300" spans="1:21" ht="51">
      <c r="A2300" s="6">
        <v>43438.797696759255</v>
      </c>
      <c r="B2300" s="7" t="str">
        <f>HYPERLINK("https://twitter.com/Ponce1805","@Ponce1805")</f>
        <v>@Ponce1805</v>
      </c>
      <c r="C2300" s="8" t="s">
        <v>7789</v>
      </c>
      <c r="D2300" s="9" t="s">
        <v>7790</v>
      </c>
      <c r="E2300" s="10" t="str">
        <f>HYPERLINK("https://twitter.com/Ponce1805/status/1070017057356480514","1070017057356480514")</f>
        <v>1070017057356480514</v>
      </c>
      <c r="F2300" s="11"/>
      <c r="G2300" s="16" t="s">
        <v>7791</v>
      </c>
      <c r="H2300" s="11"/>
      <c r="I2300" s="12">
        <v>0</v>
      </c>
      <c r="J2300" s="12">
        <v>0</v>
      </c>
      <c r="K2300" s="13" t="str">
        <f>HYPERLINK("http://twitter.com/download/android","Twitter for Android")</f>
        <v>Twitter for Android</v>
      </c>
      <c r="L2300" s="12">
        <v>853</v>
      </c>
      <c r="M2300" s="12">
        <v>878</v>
      </c>
      <c r="N2300" s="12">
        <v>22</v>
      </c>
      <c r="O2300" s="14"/>
      <c r="P2300" s="6">
        <v>41152.90892361111</v>
      </c>
      <c r="Q2300" s="11"/>
      <c r="R2300" s="17" t="s">
        <v>7792</v>
      </c>
      <c r="S2300" s="11"/>
      <c r="T2300" s="11"/>
      <c r="U2300" s="10" t="str">
        <f>HYPERLINK("https://pbs.twimg.com/profile_images/673174598238777346/m3BPykge.jpg","View")</f>
        <v>View</v>
      </c>
    </row>
    <row r="2301" spans="1:21" ht="30.6">
      <c r="A2301" s="6">
        <v>43438.7965162037</v>
      </c>
      <c r="B2301" s="7" t="str">
        <f>HYPERLINK("https://twitter.com/COPE","@COPE")</f>
        <v>@COPE</v>
      </c>
      <c r="C2301" s="8" t="s">
        <v>1421</v>
      </c>
      <c r="D2301" s="9" t="s">
        <v>7793</v>
      </c>
      <c r="E2301" s="10" t="str">
        <f>HYPERLINK("https://twitter.com/COPE/status/1070016631009632261","1070016631009632261")</f>
        <v>1070016631009632261</v>
      </c>
      <c r="F2301" s="16" t="s">
        <v>7794</v>
      </c>
      <c r="G2301" s="11"/>
      <c r="H2301" s="11"/>
      <c r="I2301" s="12">
        <v>1100</v>
      </c>
      <c r="J2301" s="12">
        <v>948</v>
      </c>
      <c r="K2301" s="13" t="str">
        <f>HYPERLINK("http://dogtrack.es","DogTrack_Oficial")</f>
        <v>DogTrack_Oficial</v>
      </c>
      <c r="L2301" s="12">
        <v>354194</v>
      </c>
      <c r="M2301" s="12">
        <v>150</v>
      </c>
      <c r="N2301" s="12">
        <v>3095</v>
      </c>
      <c r="O2301" s="23" t="s">
        <v>89</v>
      </c>
      <c r="P2301" s="6">
        <v>39381.538321759261</v>
      </c>
      <c r="Q2301" s="15" t="s">
        <v>185</v>
      </c>
      <c r="R2301" s="17" t="s">
        <v>1424</v>
      </c>
      <c r="S2301" s="16" t="s">
        <v>1425</v>
      </c>
      <c r="T2301" s="11"/>
      <c r="U2301" s="10" t="str">
        <f>HYPERLINK("https://pbs.twimg.com/profile_images/1063097716031533059/yAe1j-56.jpg","View")</f>
        <v>View</v>
      </c>
    </row>
    <row r="2302" spans="1:21" ht="51">
      <c r="A2302" s="6">
        <v>43438.795902777776</v>
      </c>
      <c r="B2302" s="7" t="str">
        <f>HYPERLINK("https://twitter.com/aquesi111","@aquesi111")</f>
        <v>@aquesi111</v>
      </c>
      <c r="C2302" s="8" t="s">
        <v>7795</v>
      </c>
      <c r="D2302" s="9" t="s">
        <v>7796</v>
      </c>
      <c r="E2302" s="10" t="str">
        <f>HYPERLINK("https://twitter.com/aquesi111/status/1070016408577298435","1070016408577298435")</f>
        <v>1070016408577298435</v>
      </c>
      <c r="F2302" s="16" t="s">
        <v>7797</v>
      </c>
      <c r="G2302" s="11"/>
      <c r="H2302" s="11"/>
      <c r="I2302" s="12">
        <v>0</v>
      </c>
      <c r="J2302" s="12">
        <v>2</v>
      </c>
      <c r="K2302" s="13" t="str">
        <f>HYPERLINK("http://twitter.com","Twitter Web Client")</f>
        <v>Twitter Web Client</v>
      </c>
      <c r="L2302" s="12">
        <v>290</v>
      </c>
      <c r="M2302" s="12">
        <v>427</v>
      </c>
      <c r="N2302" s="12">
        <v>4</v>
      </c>
      <c r="O2302" s="14"/>
      <c r="P2302" s="6">
        <v>42242.924340277779</v>
      </c>
      <c r="Q2302" s="15" t="s">
        <v>7798</v>
      </c>
      <c r="R2302" s="17" t="s">
        <v>7799</v>
      </c>
      <c r="S2302" s="11"/>
      <c r="T2302" s="11"/>
      <c r="U2302" s="10" t="str">
        <f>HYPERLINK("https://pbs.twimg.com/profile_images/907243620645969925/E9BNyeC4.jpg","View")</f>
        <v>View</v>
      </c>
    </row>
    <row r="2303" spans="1:21" ht="40.799999999999997">
      <c r="A2303" s="6">
        <v>43438.795601851853</v>
      </c>
      <c r="B2303" s="7" t="str">
        <f>HYPERLINK("https://twitter.com/mor_pili","@mor_pili")</f>
        <v>@mor_pili</v>
      </c>
      <c r="C2303" s="8" t="s">
        <v>7800</v>
      </c>
      <c r="D2303" s="9" t="s">
        <v>7801</v>
      </c>
      <c r="E2303" s="10" t="str">
        <f>HYPERLINK("https://twitter.com/mor_pili/status/1070016297990283264","1070016297990283264")</f>
        <v>1070016297990283264</v>
      </c>
      <c r="F2303" s="11"/>
      <c r="G2303" s="11"/>
      <c r="H2303" s="11"/>
      <c r="I2303" s="12">
        <v>1</v>
      </c>
      <c r="J2303" s="12">
        <v>2</v>
      </c>
      <c r="K2303" s="13" t="str">
        <f>HYPERLINK("http://twitter.com/download/android","Twitter for Android")</f>
        <v>Twitter for Android</v>
      </c>
      <c r="L2303" s="12">
        <v>439</v>
      </c>
      <c r="M2303" s="12">
        <v>456</v>
      </c>
      <c r="N2303" s="12">
        <v>1</v>
      </c>
      <c r="O2303" s="14"/>
      <c r="P2303" s="6">
        <v>41956.78979166667</v>
      </c>
      <c r="Q2303" s="15" t="s">
        <v>7802</v>
      </c>
      <c r="R2303" s="17" t="s">
        <v>7803</v>
      </c>
      <c r="S2303" s="11"/>
      <c r="T2303" s="11"/>
      <c r="U2303" s="10" t="str">
        <f>HYPERLINK("https://pbs.twimg.com/profile_images/955080888425025536/3IZBWRdR.jpg","View")</f>
        <v>View</v>
      </c>
    </row>
    <row r="2304" spans="1:21" ht="30.6">
      <c r="A2304" s="6">
        <v>43438.794814814813</v>
      </c>
      <c r="B2304" s="7" t="str">
        <f>HYPERLINK("https://twitter.com/JavierGella","@JavierGella")</f>
        <v>@JavierGella</v>
      </c>
      <c r="C2304" s="8" t="s">
        <v>7804</v>
      </c>
      <c r="D2304" s="9" t="s">
        <v>7805</v>
      </c>
      <c r="E2304" s="10" t="str">
        <f>HYPERLINK("https://twitter.com/JavierGella/status/1070016016342753281","1070016016342753281")</f>
        <v>1070016016342753281</v>
      </c>
      <c r="F2304" s="11"/>
      <c r="G2304" s="11"/>
      <c r="H2304" s="11"/>
      <c r="I2304" s="12">
        <v>0</v>
      </c>
      <c r="J2304" s="12">
        <v>4</v>
      </c>
      <c r="K2304" s="13" t="str">
        <f>HYPERLINK("http://twitter.com","Twitter Web Client")</f>
        <v>Twitter Web Client</v>
      </c>
      <c r="L2304" s="12">
        <v>567</v>
      </c>
      <c r="M2304" s="12">
        <v>555</v>
      </c>
      <c r="N2304" s="12">
        <v>6</v>
      </c>
      <c r="O2304" s="14"/>
      <c r="P2304" s="6">
        <v>40800.454039351855</v>
      </c>
      <c r="Q2304" s="11"/>
      <c r="R2304" s="17" t="s">
        <v>7806</v>
      </c>
      <c r="S2304" s="16" t="s">
        <v>7807</v>
      </c>
      <c r="T2304" s="11"/>
      <c r="U2304" s="10" t="str">
        <f>HYPERLINK("https://pbs.twimg.com/profile_images/826097102514245633/FLUITBKC.jpg","View")</f>
        <v>View</v>
      </c>
    </row>
    <row r="2305" spans="1:21" ht="40.799999999999997">
      <c r="A2305" s="6">
        <v>43438.79387731482</v>
      </c>
      <c r="B2305" s="7" t="str">
        <f>HYPERLINK("https://twitter.com/alvromnatalia","@alvromnatalia")</f>
        <v>@alvromnatalia</v>
      </c>
      <c r="C2305" s="8" t="s">
        <v>7808</v>
      </c>
      <c r="D2305" s="9" t="s">
        <v>7809</v>
      </c>
      <c r="E2305" s="10" t="str">
        <f>HYPERLINK("https://twitter.com/alvromnatalia/status/1070015676750983168","1070015676750983168")</f>
        <v>1070015676750983168</v>
      </c>
      <c r="F2305" s="11"/>
      <c r="G2305" s="11"/>
      <c r="H2305" s="11"/>
      <c r="I2305" s="12">
        <v>0</v>
      </c>
      <c r="J2305" s="12">
        <v>0</v>
      </c>
      <c r="K2305" s="13" t="str">
        <f>HYPERLINK("http://twitter.com/download/iphone","Twitter for iPhone")</f>
        <v>Twitter for iPhone</v>
      </c>
      <c r="L2305" s="12">
        <v>509</v>
      </c>
      <c r="M2305" s="12">
        <v>585</v>
      </c>
      <c r="N2305" s="12">
        <v>12</v>
      </c>
      <c r="O2305" s="14"/>
      <c r="P2305" s="6">
        <v>40028.000416666662</v>
      </c>
      <c r="Q2305" s="15" t="s">
        <v>7810</v>
      </c>
      <c r="R2305" s="17" t="s">
        <v>7811</v>
      </c>
      <c r="S2305" s="16" t="s">
        <v>7812</v>
      </c>
      <c r="T2305" s="11"/>
      <c r="U2305" s="10" t="str">
        <f>HYPERLINK("https://pbs.twimg.com/profile_images/915597050338856960/AX550tvg.jpg","View")</f>
        <v>View</v>
      </c>
    </row>
    <row r="2306" spans="1:21" ht="20.399999999999999">
      <c r="A2306" s="6">
        <v>43438.793402777781</v>
      </c>
      <c r="B2306" s="7" t="str">
        <f>HYPERLINK("https://twitter.com/lunadebenidorm","@lunadebenidorm")</f>
        <v>@lunadebenidorm</v>
      </c>
      <c r="C2306" s="8" t="s">
        <v>1215</v>
      </c>
      <c r="D2306" s="9" t="s">
        <v>7813</v>
      </c>
      <c r="E2306" s="10" t="str">
        <f>HYPERLINK("https://twitter.com/lunadebenidorm/status/1070015502314020864","1070015502314020864")</f>
        <v>1070015502314020864</v>
      </c>
      <c r="F2306" s="11"/>
      <c r="G2306" s="16" t="s">
        <v>7814</v>
      </c>
      <c r="H2306" s="11"/>
      <c r="I2306" s="12">
        <v>1</v>
      </c>
      <c r="J2306" s="12">
        <v>2</v>
      </c>
      <c r="K2306" s="13" t="str">
        <f>HYPERLINK("http://twitter.com/download/android","Twitter for Android")</f>
        <v>Twitter for Android</v>
      </c>
      <c r="L2306" s="12">
        <v>3951</v>
      </c>
      <c r="M2306" s="12">
        <v>4067</v>
      </c>
      <c r="N2306" s="12">
        <v>79</v>
      </c>
      <c r="O2306" s="14"/>
      <c r="P2306" s="6">
        <v>41461.81186342593</v>
      </c>
      <c r="Q2306" s="11"/>
      <c r="R2306" s="17" t="s">
        <v>1217</v>
      </c>
      <c r="S2306" s="11"/>
      <c r="T2306" s="11"/>
      <c r="U2306" s="10" t="str">
        <f>HYPERLINK("https://pbs.twimg.com/profile_images/1066142568734515203/pN2PG8WE.jpg","View")</f>
        <v>View</v>
      </c>
    </row>
    <row r="2307" spans="1:21" ht="51">
      <c r="A2307" s="6">
        <v>43438.79305555555</v>
      </c>
      <c r="B2307" s="7" t="str">
        <f t="shared" ref="B2307:B2308" si="516">HYPERLINK("https://twitter.com/bitMomentum","@bitMomentum")</f>
        <v>@bitMomentum</v>
      </c>
      <c r="C2307" s="8" t="s">
        <v>82</v>
      </c>
      <c r="D2307" s="9" t="s">
        <v>7815</v>
      </c>
      <c r="E2307" s="10" t="str">
        <f>HYPERLINK("https://twitter.com/bitMomentum/status/1070015375826436097","1070015375826436097")</f>
        <v>1070015375826436097</v>
      </c>
      <c r="F2307" s="11"/>
      <c r="G2307" s="11"/>
      <c r="H2307" s="11"/>
      <c r="I2307" s="12">
        <v>0</v>
      </c>
      <c r="J2307" s="12">
        <v>0</v>
      </c>
      <c r="K2307" s="13" t="str">
        <f t="shared" ref="K2307:K2308" si="517">HYPERLINK("http://www.bitmomentum.com","bitMomentum Bot")</f>
        <v>bitMomentum Bot</v>
      </c>
      <c r="L2307" s="12">
        <v>10253</v>
      </c>
      <c r="M2307" s="12">
        <v>1059</v>
      </c>
      <c r="N2307" s="12">
        <v>263</v>
      </c>
      <c r="O2307" s="14"/>
      <c r="P2307" s="6">
        <v>41608.667511574073</v>
      </c>
      <c r="Q2307" s="11"/>
      <c r="R2307" s="17" t="s">
        <v>84</v>
      </c>
      <c r="S2307" s="16" t="s">
        <v>85</v>
      </c>
      <c r="T2307" s="11"/>
      <c r="U2307" s="10" t="str">
        <f t="shared" ref="U2307:U2308" si="518">HYPERLINK("https://pbs.twimg.com/profile_images/378800000862185241/20ij2H3u.png","View")</f>
        <v>View</v>
      </c>
    </row>
    <row r="2308" spans="1:21" ht="51">
      <c r="A2308" s="6">
        <v>43438.792361111111</v>
      </c>
      <c r="B2308" s="7" t="str">
        <f t="shared" si="516"/>
        <v>@bitMomentum</v>
      </c>
      <c r="C2308" s="8" t="s">
        <v>82</v>
      </c>
      <c r="D2308" s="9" t="s">
        <v>7816</v>
      </c>
      <c r="E2308" s="10" t="str">
        <f>HYPERLINK("https://twitter.com/bitMomentum/status/1070015124264665091","1070015124264665091")</f>
        <v>1070015124264665091</v>
      </c>
      <c r="F2308" s="11"/>
      <c r="G2308" s="11"/>
      <c r="H2308" s="11"/>
      <c r="I2308" s="12">
        <v>0</v>
      </c>
      <c r="J2308" s="12">
        <v>0</v>
      </c>
      <c r="K2308" s="13" t="str">
        <f t="shared" si="517"/>
        <v>bitMomentum Bot</v>
      </c>
      <c r="L2308" s="12">
        <v>10253</v>
      </c>
      <c r="M2308" s="12">
        <v>1059</v>
      </c>
      <c r="N2308" s="12">
        <v>263</v>
      </c>
      <c r="O2308" s="14"/>
      <c r="P2308" s="6">
        <v>41608.667511574073</v>
      </c>
      <c r="Q2308" s="11"/>
      <c r="R2308" s="17" t="s">
        <v>84</v>
      </c>
      <c r="S2308" s="16" t="s">
        <v>85</v>
      </c>
      <c r="T2308" s="11"/>
      <c r="U2308" s="10" t="str">
        <f t="shared" si="518"/>
        <v>View</v>
      </c>
    </row>
    <row r="2309" spans="1:21" ht="51">
      <c r="A2309" s="6">
        <v>43438.789826388893</v>
      </c>
      <c r="B2309" s="7" t="str">
        <f>HYPERLINK("https://twitter.com/eljunko85","@eljunko85")</f>
        <v>@eljunko85</v>
      </c>
      <c r="C2309" s="8" t="s">
        <v>7817</v>
      </c>
      <c r="D2309" s="9" t="s">
        <v>7818</v>
      </c>
      <c r="E2309" s="10" t="str">
        <f>HYPERLINK("https://twitter.com/eljunko85/status/1070014207121416197","1070014207121416197")</f>
        <v>1070014207121416197</v>
      </c>
      <c r="F2309" s="11"/>
      <c r="G2309" s="11"/>
      <c r="H2309" s="11"/>
      <c r="I2309" s="12">
        <v>0</v>
      </c>
      <c r="J2309" s="12">
        <v>1</v>
      </c>
      <c r="K2309" s="13" t="str">
        <f t="shared" ref="K2309:K2311" si="519">HYPERLINK("http://twitter.com/download/android","Twitter for Android")</f>
        <v>Twitter for Android</v>
      </c>
      <c r="L2309" s="12">
        <v>115</v>
      </c>
      <c r="M2309" s="12">
        <v>163</v>
      </c>
      <c r="N2309" s="12">
        <v>0</v>
      </c>
      <c r="O2309" s="14"/>
      <c r="P2309" s="6">
        <v>41107.418634259258</v>
      </c>
      <c r="Q2309" s="11"/>
      <c r="R2309" s="17" t="s">
        <v>7819</v>
      </c>
      <c r="S2309" s="11"/>
      <c r="T2309" s="11"/>
      <c r="U2309" s="10" t="str">
        <f>HYPERLINK("https://pbs.twimg.com/profile_images/771676438613397504/6LxjvNd0.jpg","View")</f>
        <v>View</v>
      </c>
    </row>
    <row r="2310" spans="1:21" ht="13.2">
      <c r="A2310" s="6">
        <v>43438.787210648152</v>
      </c>
      <c r="B2310" s="7" t="str">
        <f>HYPERLINK("https://twitter.com/Joaka714","@Joaka714")</f>
        <v>@Joaka714</v>
      </c>
      <c r="C2310" s="8" t="s">
        <v>7820</v>
      </c>
      <c r="D2310" s="9" t="s">
        <v>7821</v>
      </c>
      <c r="E2310" s="10" t="str">
        <f>HYPERLINK("https://twitter.com/Joaka714/status/1070013257233113089","1070013257233113089")</f>
        <v>1070013257233113089</v>
      </c>
      <c r="F2310" s="11"/>
      <c r="G2310" s="16" t="s">
        <v>7822</v>
      </c>
      <c r="H2310" s="11"/>
      <c r="I2310" s="12">
        <v>0</v>
      </c>
      <c r="J2310" s="12">
        <v>1</v>
      </c>
      <c r="K2310" s="13" t="str">
        <f t="shared" si="519"/>
        <v>Twitter for Android</v>
      </c>
      <c r="L2310" s="12">
        <v>194</v>
      </c>
      <c r="M2310" s="12">
        <v>343</v>
      </c>
      <c r="N2310" s="12">
        <v>0</v>
      </c>
      <c r="O2310" s="14"/>
      <c r="P2310" s="6">
        <v>40691.77815972222</v>
      </c>
      <c r="Q2310" s="15" t="s">
        <v>2263</v>
      </c>
      <c r="R2310" s="17" t="s">
        <v>7823</v>
      </c>
      <c r="S2310" s="11"/>
      <c r="T2310" s="11"/>
      <c r="U2310" s="10" t="str">
        <f>HYPERLINK("https://pbs.twimg.com/profile_images/958387807428456448/fH4bACFd.jpg","View")</f>
        <v>View</v>
      </c>
    </row>
    <row r="2311" spans="1:21" ht="112.2">
      <c r="A2311" s="6">
        <v>43438.785393518519</v>
      </c>
      <c r="B2311" s="7" t="str">
        <f>HYPERLINK("https://twitter.com/lavozdecoffee","@lavozdecoffee")</f>
        <v>@lavozdecoffee</v>
      </c>
      <c r="C2311" s="8" t="s">
        <v>557</v>
      </c>
      <c r="D2311" s="9" t="s">
        <v>7824</v>
      </c>
      <c r="E2311" s="10" t="str">
        <f>HYPERLINK("https://twitter.com/lavozdecoffee/status/1070012601789239296","1070012601789239296")</f>
        <v>1070012601789239296</v>
      </c>
      <c r="F2311" s="15" t="s">
        <v>7825</v>
      </c>
      <c r="G2311" s="11"/>
      <c r="H2311" s="11"/>
      <c r="I2311" s="12">
        <v>0</v>
      </c>
      <c r="J2311" s="12">
        <v>0</v>
      </c>
      <c r="K2311" s="13" t="str">
        <f t="shared" si="519"/>
        <v>Twitter for Android</v>
      </c>
      <c r="L2311" s="12">
        <v>630</v>
      </c>
      <c r="M2311" s="12">
        <v>977</v>
      </c>
      <c r="N2311" s="12">
        <v>16</v>
      </c>
      <c r="O2311" s="14"/>
      <c r="P2311" s="6">
        <v>42469.745138888888</v>
      </c>
      <c r="Q2311" s="15" t="s">
        <v>1048</v>
      </c>
      <c r="R2311" s="17" t="s">
        <v>7826</v>
      </c>
      <c r="S2311" s="16" t="s">
        <v>7827</v>
      </c>
      <c r="T2311" s="11"/>
      <c r="U2311" s="10" t="str">
        <f>HYPERLINK("https://pbs.twimg.com/profile_images/1033759320947744768/m7ebEdLm.jpg","View")</f>
        <v>View</v>
      </c>
    </row>
    <row r="2312" spans="1:21" ht="20.399999999999999">
      <c r="A2312" s="6">
        <v>43438.784571759257</v>
      </c>
      <c r="B2312" s="7" t="str">
        <f>HYPERLINK("https://twitter.com/edp","@edp")</f>
        <v>@edp</v>
      </c>
      <c r="C2312" s="8" t="s">
        <v>7828</v>
      </c>
      <c r="D2312" s="9" t="s">
        <v>7829</v>
      </c>
      <c r="E2312" s="10" t="str">
        <f>HYPERLINK("https://twitter.com/edp/status/1070012304723468288","1070012304723468288")</f>
        <v>1070012304723468288</v>
      </c>
      <c r="F2312" s="11"/>
      <c r="G2312" s="11"/>
      <c r="H2312" s="11"/>
      <c r="I2312" s="12">
        <v>0</v>
      </c>
      <c r="J2312" s="12">
        <v>1</v>
      </c>
      <c r="K2312" s="13" t="str">
        <f>HYPERLINK("http://twitter.com/download/iphone","Twitter for iPhone")</f>
        <v>Twitter for iPhone</v>
      </c>
      <c r="L2312" s="12">
        <v>5708</v>
      </c>
      <c r="M2312" s="12">
        <v>4234</v>
      </c>
      <c r="N2312" s="12">
        <v>29</v>
      </c>
      <c r="O2312" s="14"/>
      <c r="P2312" s="6">
        <v>39289.674039351856</v>
      </c>
      <c r="Q2312" s="15" t="s">
        <v>7830</v>
      </c>
      <c r="R2312" s="17" t="s">
        <v>7831</v>
      </c>
      <c r="S2312" s="16" t="s">
        <v>7832</v>
      </c>
      <c r="T2312" s="11"/>
      <c r="U2312" s="10" t="str">
        <f>HYPERLINK("https://pbs.twimg.com/profile_images/922061033530896385/ykySPqpK.jpg","View")</f>
        <v>View</v>
      </c>
    </row>
    <row r="2313" spans="1:21" ht="20.399999999999999">
      <c r="A2313" s="6">
        <v>43438.784525462965</v>
      </c>
      <c r="B2313" s="7" t="str">
        <f>HYPERLINK("https://twitter.com/ausaes","@ausaes")</f>
        <v>@ausaes</v>
      </c>
      <c r="C2313" s="8" t="s">
        <v>7833</v>
      </c>
      <c r="D2313" s="9" t="s">
        <v>7834</v>
      </c>
      <c r="E2313" s="10" t="str">
        <f>HYPERLINK("https://twitter.com/ausaes/status/1070012285438099457","1070012285438099457")</f>
        <v>1070012285438099457</v>
      </c>
      <c r="F2313" s="16" t="s">
        <v>7835</v>
      </c>
      <c r="G2313" s="11"/>
      <c r="H2313" s="11"/>
      <c r="I2313" s="12">
        <v>0</v>
      </c>
      <c r="J2313" s="12">
        <v>0</v>
      </c>
      <c r="K2313" s="13" t="str">
        <f t="shared" ref="K2313:K2314" si="520">HYPERLINK("http://twitter.com/download/android","Twitter for Android")</f>
        <v>Twitter for Android</v>
      </c>
      <c r="L2313" s="12">
        <v>19</v>
      </c>
      <c r="M2313" s="12">
        <v>150</v>
      </c>
      <c r="N2313" s="12">
        <v>0</v>
      </c>
      <c r="O2313" s="14"/>
      <c r="P2313" s="6">
        <v>43255.9058912037</v>
      </c>
      <c r="Q2313" s="11"/>
      <c r="R2313" s="17" t="s">
        <v>7836</v>
      </c>
      <c r="S2313" s="11"/>
      <c r="T2313" s="11"/>
      <c r="U2313" s="10" t="str">
        <f>HYPERLINK("https://pbs.twimg.com/profile_images/1069907379742011392/L-0nCtKi.jpg","View")</f>
        <v>View</v>
      </c>
    </row>
    <row r="2314" spans="1:21" ht="51">
      <c r="A2314" s="6">
        <v>43438.78434027778</v>
      </c>
      <c r="B2314" s="7" t="str">
        <f>HYPERLINK("https://twitter.com/Nastikuus","@Nastikuus")</f>
        <v>@Nastikuus</v>
      </c>
      <c r="C2314" s="8" t="s">
        <v>7837</v>
      </c>
      <c r="D2314" s="9" t="s">
        <v>7838</v>
      </c>
      <c r="E2314" s="10" t="str">
        <f>HYPERLINK("https://twitter.com/Nastikuus/status/1070012218190766080","1070012218190766080")</f>
        <v>1070012218190766080</v>
      </c>
      <c r="F2314" s="15" t="s">
        <v>7839</v>
      </c>
      <c r="G2314" s="11"/>
      <c r="H2314" s="11"/>
      <c r="I2314" s="12">
        <v>49</v>
      </c>
      <c r="J2314" s="12">
        <v>88</v>
      </c>
      <c r="K2314" s="13" t="str">
        <f t="shared" si="520"/>
        <v>Twitter for Android</v>
      </c>
      <c r="L2314" s="12">
        <v>9227</v>
      </c>
      <c r="M2314" s="12">
        <v>9787</v>
      </c>
      <c r="N2314" s="12">
        <v>18</v>
      </c>
      <c r="O2314" s="14"/>
      <c r="P2314" s="6">
        <v>42099.04283564815</v>
      </c>
      <c r="Q2314" s="15" t="s">
        <v>7840</v>
      </c>
      <c r="R2314" s="17" t="s">
        <v>7841</v>
      </c>
      <c r="S2314" s="11"/>
      <c r="T2314" s="11"/>
      <c r="U2314" s="10" t="str">
        <f>HYPERLINK("https://pbs.twimg.com/profile_images/1032685318510665728/vYQmeknG.jpg","View")</f>
        <v>View</v>
      </c>
    </row>
    <row r="2315" spans="1:21" ht="30.6">
      <c r="A2315" s="6">
        <v>43438.783229166671</v>
      </c>
      <c r="B2315" s="7" t="str">
        <f>HYPERLINK("https://twitter.com/PatGuerreroGo","@PatGuerreroGo")</f>
        <v>@PatGuerreroGo</v>
      </c>
      <c r="C2315" s="8" t="s">
        <v>7842</v>
      </c>
      <c r="D2315" s="9" t="s">
        <v>7843</v>
      </c>
      <c r="E2315" s="10" t="str">
        <f>HYPERLINK("https://twitter.com/PatGuerreroGo/status/1070011818016428032","1070011818016428032")</f>
        <v>1070011818016428032</v>
      </c>
      <c r="F2315" s="11"/>
      <c r="G2315" s="11"/>
      <c r="H2315" s="11"/>
      <c r="I2315" s="12">
        <v>252</v>
      </c>
      <c r="J2315" s="12">
        <v>806</v>
      </c>
      <c r="K2315" s="13" t="str">
        <f t="shared" ref="K2315:K2316" si="521">HYPERLINK("http://twitter.com/download/iphone","Twitter for iPhone")</f>
        <v>Twitter for iPhone</v>
      </c>
      <c r="L2315" s="12">
        <v>20659</v>
      </c>
      <c r="M2315" s="12">
        <v>328</v>
      </c>
      <c r="N2315" s="12">
        <v>224</v>
      </c>
      <c r="O2315" s="14"/>
      <c r="P2315" s="6">
        <v>41114.276782407411</v>
      </c>
      <c r="Q2315" s="15" t="s">
        <v>7844</v>
      </c>
      <c r="R2315" s="17" t="s">
        <v>7845</v>
      </c>
      <c r="S2315" s="16" t="s">
        <v>7846</v>
      </c>
      <c r="T2315" s="11"/>
      <c r="U2315" s="10" t="str">
        <f>HYPERLINK("https://pbs.twimg.com/profile_images/570332096246190080/IHtbnvHQ.jpeg","View")</f>
        <v>View</v>
      </c>
    </row>
    <row r="2316" spans="1:21" ht="40.799999999999997">
      <c r="A2316" s="6">
        <v>43438.781944444447</v>
      </c>
      <c r="B2316" s="7" t="str">
        <f>HYPERLINK("https://twitter.com/TabAntiProgre","@TabAntiProgre")</f>
        <v>@TabAntiProgre</v>
      </c>
      <c r="C2316" s="8" t="s">
        <v>7847</v>
      </c>
      <c r="D2316" s="9" t="s">
        <v>7848</v>
      </c>
      <c r="E2316" s="10" t="str">
        <f>HYPERLINK("https://twitter.com/TabAntiProgre/status/1070011350670340096","1070011350670340096")</f>
        <v>1070011350670340096</v>
      </c>
      <c r="F2316" s="11"/>
      <c r="G2316" s="16" t="s">
        <v>7849</v>
      </c>
      <c r="H2316" s="11"/>
      <c r="I2316" s="12">
        <v>12</v>
      </c>
      <c r="J2316" s="12">
        <v>58</v>
      </c>
      <c r="K2316" s="13" t="str">
        <f t="shared" si="521"/>
        <v>Twitter for iPhone</v>
      </c>
      <c r="L2316" s="12">
        <v>6718</v>
      </c>
      <c r="M2316" s="12">
        <v>573</v>
      </c>
      <c r="N2316" s="12">
        <v>22</v>
      </c>
      <c r="O2316" s="14"/>
      <c r="P2316" s="6">
        <v>42160.045706018514</v>
      </c>
      <c r="Q2316" s="11"/>
      <c r="R2316" s="17" t="s">
        <v>7850</v>
      </c>
      <c r="S2316" s="16" t="s">
        <v>7851</v>
      </c>
      <c r="T2316" s="11"/>
      <c r="U2316" s="10" t="str">
        <f>HYPERLINK("https://pbs.twimg.com/profile_images/1055676545573023745/XoV716Qb.jpg","View")</f>
        <v>View</v>
      </c>
    </row>
    <row r="2317" spans="1:21" ht="61.2">
      <c r="A2317" s="6">
        <v>43438.781273148154</v>
      </c>
      <c r="B2317" s="7" t="str">
        <f>HYPERLINK("https://twitter.com/ActualidadChil1","@ActualidadChil1")</f>
        <v>@ActualidadChil1</v>
      </c>
      <c r="C2317" s="8" t="s">
        <v>7852</v>
      </c>
      <c r="D2317" s="9" t="s">
        <v>7853</v>
      </c>
      <c r="E2317" s="10" t="str">
        <f>HYPERLINK("https://twitter.com/ActualidadChil1/status/1070011108491227136","1070011108491227136")</f>
        <v>1070011108491227136</v>
      </c>
      <c r="F2317" s="16" t="s">
        <v>7034</v>
      </c>
      <c r="G2317" s="16" t="s">
        <v>7035</v>
      </c>
      <c r="H2317" s="11"/>
      <c r="I2317" s="12">
        <v>0</v>
      </c>
      <c r="J2317" s="12">
        <v>0</v>
      </c>
      <c r="K2317" s="13" t="str">
        <f>HYPERLINK("http://twitter.com","Twitter Web Client")</f>
        <v>Twitter Web Client</v>
      </c>
      <c r="L2317" s="12">
        <v>53</v>
      </c>
      <c r="M2317" s="12">
        <v>206</v>
      </c>
      <c r="N2317" s="12">
        <v>0</v>
      </c>
      <c r="O2317" s="14"/>
      <c r="P2317" s="6">
        <v>43297.120462962965</v>
      </c>
      <c r="Q2317" s="15" t="s">
        <v>44</v>
      </c>
      <c r="R2317" s="18"/>
      <c r="S2317" s="16" t="s">
        <v>7854</v>
      </c>
      <c r="T2317" s="11"/>
      <c r="U2317" s="10" t="str">
        <f>HYPERLINK("https://pbs.twimg.com/profile_images/1018680521675759616/OVYuwvHc.jpg","View")</f>
        <v>View</v>
      </c>
    </row>
    <row r="2318" spans="1:21" ht="20.399999999999999">
      <c r="A2318" s="6">
        <v>43438.781215277777</v>
      </c>
      <c r="B2318" s="7" t="str">
        <f>HYPERLINK("https://twitter.com/El_Festivalero","@El_Festivalero")</f>
        <v>@El_Festivalero</v>
      </c>
      <c r="C2318" s="8" t="s">
        <v>7855</v>
      </c>
      <c r="D2318" s="9" t="s">
        <v>7856</v>
      </c>
      <c r="E2318" s="10" t="str">
        <f>HYPERLINK("https://twitter.com/El_Festivalero/status/1070011087733567494","1070011087733567494")</f>
        <v>1070011087733567494</v>
      </c>
      <c r="F2318" s="11"/>
      <c r="G2318" s="11"/>
      <c r="H2318" s="11"/>
      <c r="I2318" s="12">
        <v>0</v>
      </c>
      <c r="J2318" s="12">
        <v>2</v>
      </c>
      <c r="K2318" s="13" t="str">
        <f>HYPERLINK("http://twitter.com/download/android","Twitter for Android")</f>
        <v>Twitter for Android</v>
      </c>
      <c r="L2318" s="12">
        <v>159</v>
      </c>
      <c r="M2318" s="12">
        <v>198</v>
      </c>
      <c r="N2318" s="12">
        <v>1</v>
      </c>
      <c r="O2318" s="14"/>
      <c r="P2318" s="6">
        <v>42918.746550925927</v>
      </c>
      <c r="Q2318" s="15" t="s">
        <v>7857</v>
      </c>
      <c r="R2318" s="17" t="s">
        <v>7858</v>
      </c>
      <c r="S2318" s="11"/>
      <c r="T2318" s="11"/>
      <c r="U2318" s="10" t="str">
        <f>HYPERLINK("https://pbs.twimg.com/profile_images/881595524012548101/s4OZkq3Q.jpg","View")</f>
        <v>View</v>
      </c>
    </row>
    <row r="2319" spans="1:21" ht="51">
      <c r="A2319" s="6">
        <v>43438.78019675926</v>
      </c>
      <c r="B2319" s="7" t="str">
        <f>HYPERLINK("https://twitter.com/fcomartnez","@fcomartnez")</f>
        <v>@fcomartnez</v>
      </c>
      <c r="C2319" s="8" t="s">
        <v>3081</v>
      </c>
      <c r="D2319" s="9" t="s">
        <v>7859</v>
      </c>
      <c r="E2319" s="10" t="str">
        <f>HYPERLINK("https://twitter.com/fcomartnez/status/1070010715220705282","1070010715220705282")</f>
        <v>1070010715220705282</v>
      </c>
      <c r="F2319" s="11"/>
      <c r="G2319" s="16" t="s">
        <v>7860</v>
      </c>
      <c r="H2319" s="11"/>
      <c r="I2319" s="12">
        <v>1</v>
      </c>
      <c r="J2319" s="12">
        <v>1</v>
      </c>
      <c r="K2319" s="13" t="str">
        <f t="shared" ref="K2319:K2322" si="522">HYPERLINK("http://twitter.com","Twitter Web Client")</f>
        <v>Twitter Web Client</v>
      </c>
      <c r="L2319" s="12">
        <v>2840</v>
      </c>
      <c r="M2319" s="12">
        <v>2839</v>
      </c>
      <c r="N2319" s="12">
        <v>15</v>
      </c>
      <c r="O2319" s="14"/>
      <c r="P2319" s="6">
        <v>40682.76059027778</v>
      </c>
      <c r="Q2319" s="15" t="s">
        <v>197</v>
      </c>
      <c r="R2319" s="17" t="s">
        <v>3084</v>
      </c>
      <c r="S2319" s="11"/>
      <c r="T2319" s="11"/>
      <c r="U2319" s="10" t="str">
        <f>HYPERLINK("https://pbs.twimg.com/profile_images/1537287110/twentti.jpg","View")</f>
        <v>View</v>
      </c>
    </row>
    <row r="2320" spans="1:21" ht="51">
      <c r="A2320" s="6">
        <v>43438.779212962967</v>
      </c>
      <c r="B2320" s="7" t="str">
        <f>HYPERLINK("https://twitter.com/prusesista","@prusesista")</f>
        <v>@prusesista</v>
      </c>
      <c r="C2320" s="8" t="s">
        <v>7861</v>
      </c>
      <c r="D2320" s="9" t="s">
        <v>7862</v>
      </c>
      <c r="E2320" s="10" t="str">
        <f>HYPERLINK("https://twitter.com/prusesista/status/1070010361745678338","1070010361745678338")</f>
        <v>1070010361745678338</v>
      </c>
      <c r="F2320" s="11"/>
      <c r="G2320" s="11"/>
      <c r="H2320" s="11"/>
      <c r="I2320" s="12">
        <v>0</v>
      </c>
      <c r="J2320" s="12">
        <v>2</v>
      </c>
      <c r="K2320" s="13" t="str">
        <f t="shared" si="522"/>
        <v>Twitter Web Client</v>
      </c>
      <c r="L2320" s="12">
        <v>3783</v>
      </c>
      <c r="M2320" s="12">
        <v>990</v>
      </c>
      <c r="N2320" s="12">
        <v>57</v>
      </c>
      <c r="O2320" s="14"/>
      <c r="P2320" s="6">
        <v>41454.534942129627</v>
      </c>
      <c r="Q2320" s="15" t="s">
        <v>7863</v>
      </c>
      <c r="R2320" s="17" t="s">
        <v>7864</v>
      </c>
      <c r="S2320" s="11"/>
      <c r="T2320" s="11"/>
      <c r="U2320" s="10" t="str">
        <f>HYPERLINK("https://pbs.twimg.com/profile_images/1032959317840945152/z63Toza9.jpg","View")</f>
        <v>View</v>
      </c>
    </row>
    <row r="2321" spans="1:21" ht="40.799999999999997">
      <c r="A2321" s="6">
        <v>43438.77888888889</v>
      </c>
      <c r="B2321" s="7" t="str">
        <f t="shared" ref="B2321:B2322" si="523">HYPERLINK("https://twitter.com/robersanchez98","@robersanchez98")</f>
        <v>@robersanchez98</v>
      </c>
      <c r="C2321" s="8" t="s">
        <v>2713</v>
      </c>
      <c r="D2321" s="9" t="s">
        <v>7865</v>
      </c>
      <c r="E2321" s="10" t="str">
        <f>HYPERLINK("https://twitter.com/robersanchez98/status/1070010244452048896","1070010244452048896")</f>
        <v>1070010244452048896</v>
      </c>
      <c r="F2321" s="16" t="s">
        <v>7866</v>
      </c>
      <c r="G2321" s="11"/>
      <c r="H2321" s="11"/>
      <c r="I2321" s="12">
        <v>0</v>
      </c>
      <c r="J2321" s="12">
        <v>0</v>
      </c>
      <c r="K2321" s="13" t="str">
        <f t="shared" si="522"/>
        <v>Twitter Web Client</v>
      </c>
      <c r="L2321" s="12">
        <v>248</v>
      </c>
      <c r="M2321" s="12">
        <v>449</v>
      </c>
      <c r="N2321" s="12">
        <v>9</v>
      </c>
      <c r="O2321" s="14"/>
      <c r="P2321" s="6">
        <v>41909.51258101852</v>
      </c>
      <c r="Q2321" s="15" t="s">
        <v>118</v>
      </c>
      <c r="R2321" s="17" t="s">
        <v>2716</v>
      </c>
      <c r="S2321" s="11"/>
      <c r="T2321" s="11"/>
      <c r="U2321" s="10" t="str">
        <f t="shared" ref="U2321:U2322" si="524">HYPERLINK("https://pbs.twimg.com/profile_images/1031962076003147776/JvDVrA12.jpg","View")</f>
        <v>View</v>
      </c>
    </row>
    <row r="2322" spans="1:21" ht="40.799999999999997">
      <c r="A2322" s="6">
        <v>43438.778414351851</v>
      </c>
      <c r="B2322" s="7" t="str">
        <f t="shared" si="523"/>
        <v>@robersanchez98</v>
      </c>
      <c r="C2322" s="8" t="s">
        <v>2713</v>
      </c>
      <c r="D2322" s="9" t="s">
        <v>7867</v>
      </c>
      <c r="E2322" s="10" t="str">
        <f>HYPERLINK("https://twitter.com/robersanchez98/status/1070010070732300288","1070010070732300288")</f>
        <v>1070010070732300288</v>
      </c>
      <c r="F2322" s="16" t="s">
        <v>7866</v>
      </c>
      <c r="G2322" s="11"/>
      <c r="H2322" s="11"/>
      <c r="I2322" s="12">
        <v>0</v>
      </c>
      <c r="J2322" s="12">
        <v>0</v>
      </c>
      <c r="K2322" s="13" t="str">
        <f t="shared" si="522"/>
        <v>Twitter Web Client</v>
      </c>
      <c r="L2322" s="12">
        <v>248</v>
      </c>
      <c r="M2322" s="12">
        <v>449</v>
      </c>
      <c r="N2322" s="12">
        <v>9</v>
      </c>
      <c r="O2322" s="14"/>
      <c r="P2322" s="6">
        <v>41909.51258101852</v>
      </c>
      <c r="Q2322" s="15" t="s">
        <v>118</v>
      </c>
      <c r="R2322" s="17" t="s">
        <v>2716</v>
      </c>
      <c r="S2322" s="11"/>
      <c r="T2322" s="11"/>
      <c r="U2322" s="10" t="str">
        <f t="shared" si="524"/>
        <v>View</v>
      </c>
    </row>
    <row r="2323" spans="1:21" ht="61.2">
      <c r="A2323" s="6">
        <v>43438.778263888889</v>
      </c>
      <c r="B2323" s="7" t="str">
        <f>HYPERLINK("https://twitter.com/TeijidoMaria","@TeijidoMaria")</f>
        <v>@TeijidoMaria</v>
      </c>
      <c r="C2323" s="8" t="s">
        <v>7868</v>
      </c>
      <c r="D2323" s="9" t="s">
        <v>7869</v>
      </c>
      <c r="E2323" s="10" t="str">
        <f>HYPERLINK("https://twitter.com/TeijidoMaria/status/1070010016042749952","1070010016042749952")</f>
        <v>1070010016042749952</v>
      </c>
      <c r="F2323" s="11"/>
      <c r="G2323" s="16" t="s">
        <v>7870</v>
      </c>
      <c r="H2323" s="11"/>
      <c r="I2323" s="12">
        <v>1</v>
      </c>
      <c r="J2323" s="12">
        <v>1</v>
      </c>
      <c r="K2323" s="13" t="str">
        <f t="shared" ref="K2323:K2324" si="525">HYPERLINK("http://twitter.com/download/android","Twitter for Android")</f>
        <v>Twitter for Android</v>
      </c>
      <c r="L2323" s="12">
        <v>257</v>
      </c>
      <c r="M2323" s="12">
        <v>784</v>
      </c>
      <c r="N2323" s="12">
        <v>1</v>
      </c>
      <c r="O2323" s="14"/>
      <c r="P2323" s="6">
        <v>43285.633518518516</v>
      </c>
      <c r="Q2323" s="11"/>
      <c r="R2323" s="17" t="s">
        <v>7871</v>
      </c>
      <c r="S2323" s="11"/>
      <c r="T2323" s="11"/>
      <c r="U2323" s="10" t="str">
        <f>HYPERLINK("https://pbs.twimg.com/profile_images/1062779844126224384/4ApgjYeq.jpg","View")</f>
        <v>View</v>
      </c>
    </row>
    <row r="2324" spans="1:21" ht="61.2">
      <c r="A2324" s="6">
        <v>43438.777557870373</v>
      </c>
      <c r="B2324" s="7" t="str">
        <f>HYPERLINK("https://twitter.com/UlisesGamez10","@UlisesGamez10")</f>
        <v>@UlisesGamez10</v>
      </c>
      <c r="C2324" s="8" t="s">
        <v>233</v>
      </c>
      <c r="D2324" s="9" t="s">
        <v>7872</v>
      </c>
      <c r="E2324" s="10" t="str">
        <f>HYPERLINK("https://twitter.com/UlisesGamez10/status/1070009759896690689","1070009759896690689")</f>
        <v>1070009759896690689</v>
      </c>
      <c r="F2324" s="11"/>
      <c r="G2324" s="11"/>
      <c r="H2324" s="11"/>
      <c r="I2324" s="12">
        <v>0</v>
      </c>
      <c r="J2324" s="12">
        <v>0</v>
      </c>
      <c r="K2324" s="13" t="str">
        <f t="shared" si="525"/>
        <v>Twitter for Android</v>
      </c>
      <c r="L2324" s="12">
        <v>1184</v>
      </c>
      <c r="M2324" s="12">
        <v>5002</v>
      </c>
      <c r="N2324" s="12">
        <v>0</v>
      </c>
      <c r="O2324" s="14"/>
      <c r="P2324" s="6">
        <v>43190.59783564815</v>
      </c>
      <c r="Q2324" s="15" t="s">
        <v>236</v>
      </c>
      <c r="R2324" s="17" t="s">
        <v>237</v>
      </c>
      <c r="S2324" s="11"/>
      <c r="T2324" s="11"/>
      <c r="U2324" s="10" t="str">
        <f>HYPERLINK("https://pbs.twimg.com/profile_images/1068881444196499456/MCgxp2WR.jpg","View")</f>
        <v>View</v>
      </c>
    </row>
    <row r="2325" spans="1:21" ht="30.6">
      <c r="A2325" s="6">
        <v>43438.773368055554</v>
      </c>
      <c r="B2325" s="7" t="str">
        <f>HYPERLINK("https://twitter.com/maribel56","@maribel56")</f>
        <v>@maribel56</v>
      </c>
      <c r="C2325" s="8" t="s">
        <v>7873</v>
      </c>
      <c r="D2325" s="9" t="s">
        <v>7874</v>
      </c>
      <c r="E2325" s="10" t="str">
        <f>HYPERLINK("https://twitter.com/maribel56/status/1070008242292576257","1070008242292576257")</f>
        <v>1070008242292576257</v>
      </c>
      <c r="F2325" s="11"/>
      <c r="G2325" s="11"/>
      <c r="H2325" s="11"/>
      <c r="I2325" s="12">
        <v>5</v>
      </c>
      <c r="J2325" s="12">
        <v>6</v>
      </c>
      <c r="K2325" s="13" t="str">
        <f>HYPERLINK("http://twitter.com","Twitter Web Client")</f>
        <v>Twitter Web Client</v>
      </c>
      <c r="L2325" s="12">
        <v>2358</v>
      </c>
      <c r="M2325" s="12">
        <v>2497</v>
      </c>
      <c r="N2325" s="12">
        <v>3</v>
      </c>
      <c r="O2325" s="14"/>
      <c r="P2325" s="6">
        <v>40313.845289351855</v>
      </c>
      <c r="Q2325" s="15" t="s">
        <v>872</v>
      </c>
      <c r="R2325" s="17" t="s">
        <v>7875</v>
      </c>
      <c r="S2325" s="11"/>
      <c r="T2325" s="11"/>
      <c r="U2325" s="10" t="str">
        <f>HYPERLINK("https://pbs.twimg.com/profile_images/1065198824497602561/a3_uiQgR.jpg","View")</f>
        <v>View</v>
      </c>
    </row>
    <row r="2326" spans="1:21" ht="30.6">
      <c r="A2326" s="6">
        <v>43438.772916666669</v>
      </c>
      <c r="B2326" s="7" t="str">
        <f>HYPERLINK("https://twitter.com/espanolmedico","@espanolmedico")</f>
        <v>@espanolmedico</v>
      </c>
      <c r="C2326" s="8" t="s">
        <v>7876</v>
      </c>
      <c r="D2326" s="9" t="s">
        <v>7877</v>
      </c>
      <c r="E2326" s="10" t="str">
        <f>HYPERLINK("https://twitter.com/espanolmedico/status/1070008077053620225","1070008077053620225")</f>
        <v>1070008077053620225</v>
      </c>
      <c r="F2326" s="11"/>
      <c r="G2326" s="11"/>
      <c r="H2326" s="11"/>
      <c r="I2326" s="12">
        <v>0</v>
      </c>
      <c r="J2326" s="12">
        <v>0</v>
      </c>
      <c r="K2326" s="13" t="str">
        <f>HYPERLINK("http://twitter.com/download/iphone","Twitter for iPhone")</f>
        <v>Twitter for iPhone</v>
      </c>
      <c r="L2326" s="12">
        <v>38</v>
      </c>
      <c r="M2326" s="12">
        <v>86</v>
      </c>
      <c r="N2326" s="12">
        <v>0</v>
      </c>
      <c r="O2326" s="14"/>
      <c r="P2326" s="6">
        <v>43387.381099537037</v>
      </c>
      <c r="Q2326" s="15" t="s">
        <v>1440</v>
      </c>
      <c r="R2326" s="17" t="s">
        <v>7878</v>
      </c>
      <c r="S2326" s="11"/>
      <c r="T2326" s="11"/>
      <c r="U2326" s="10" t="str">
        <f>HYPERLINK("https://pbs.twimg.com/profile_images/1051375793891405825/owUqnqRY.jpg","View")</f>
        <v>View</v>
      </c>
    </row>
    <row r="2327" spans="1:21" ht="71.400000000000006">
      <c r="A2327" s="6">
        <v>43438.772870370369</v>
      </c>
      <c r="B2327" s="7" t="str">
        <f>HYPERLINK("https://twitter.com/aquesi111","@aquesi111")</f>
        <v>@aquesi111</v>
      </c>
      <c r="C2327" s="8" t="s">
        <v>7795</v>
      </c>
      <c r="D2327" s="9" t="s">
        <v>7879</v>
      </c>
      <c r="E2327" s="10" t="str">
        <f>HYPERLINK("https://twitter.com/aquesi111/status/1070008062625439744","1070008062625439744")</f>
        <v>1070008062625439744</v>
      </c>
      <c r="F2327" s="15" t="s">
        <v>6797</v>
      </c>
      <c r="G2327" s="11"/>
      <c r="H2327" s="11"/>
      <c r="I2327" s="12">
        <v>0</v>
      </c>
      <c r="J2327" s="12">
        <v>0</v>
      </c>
      <c r="K2327" s="13" t="str">
        <f>HYPERLINK("http://twitter.com","Twitter Web Client")</f>
        <v>Twitter Web Client</v>
      </c>
      <c r="L2327" s="12">
        <v>290</v>
      </c>
      <c r="M2327" s="12">
        <v>427</v>
      </c>
      <c r="N2327" s="12">
        <v>4</v>
      </c>
      <c r="O2327" s="14"/>
      <c r="P2327" s="6">
        <v>42242.924340277779</v>
      </c>
      <c r="Q2327" s="15" t="s">
        <v>7798</v>
      </c>
      <c r="R2327" s="17" t="s">
        <v>7799</v>
      </c>
      <c r="S2327" s="11"/>
      <c r="T2327" s="11"/>
      <c r="U2327" s="10" t="str">
        <f>HYPERLINK("https://pbs.twimg.com/profile_images/907243620645969925/E9BNyeC4.jpg","View")</f>
        <v>View</v>
      </c>
    </row>
    <row r="2328" spans="1:21" ht="40.799999999999997">
      <c r="A2328" s="6">
        <v>43438.772395833337</v>
      </c>
      <c r="B2328" s="7" t="str">
        <f>HYPERLINK("https://twitter.com/califacordobes","@califacordobes")</f>
        <v>@califacordobes</v>
      </c>
      <c r="C2328" s="8" t="s">
        <v>7880</v>
      </c>
      <c r="D2328" s="9" t="s">
        <v>7881</v>
      </c>
      <c r="E2328" s="10" t="str">
        <f>HYPERLINK("https://twitter.com/califacordobes/status/1070007889803272197","1070007889803272197")</f>
        <v>1070007889803272197</v>
      </c>
      <c r="F2328" s="16" t="s">
        <v>1568</v>
      </c>
      <c r="G2328" s="11"/>
      <c r="H2328" s="11"/>
      <c r="I2328" s="12">
        <v>0</v>
      </c>
      <c r="J2328" s="12">
        <v>0</v>
      </c>
      <c r="K2328" s="13" t="str">
        <f>HYPERLINK("http://twitter.com/download/android","Twitter for Android")</f>
        <v>Twitter for Android</v>
      </c>
      <c r="L2328" s="12">
        <v>525</v>
      </c>
      <c r="M2328" s="12">
        <v>869</v>
      </c>
      <c r="N2328" s="12">
        <v>7</v>
      </c>
      <c r="O2328" s="14"/>
      <c r="P2328" s="6">
        <v>40361.315694444442</v>
      </c>
      <c r="Q2328" s="15" t="s">
        <v>6253</v>
      </c>
      <c r="R2328" s="17" t="s">
        <v>7882</v>
      </c>
      <c r="S2328" s="11"/>
      <c r="T2328" s="11"/>
      <c r="U2328" s="10" t="str">
        <f>HYPERLINK("https://pbs.twimg.com/profile_images/755283156811546624/hED6Xk84.jpg","View")</f>
        <v>View</v>
      </c>
    </row>
    <row r="2329" spans="1:21" ht="40.799999999999997">
      <c r="A2329" s="6">
        <v>43438.772314814814</v>
      </c>
      <c r="B2329" s="7" t="str">
        <f>HYPERLINK("https://twitter.com/ENTREESTOY","@ENTREESTOY")</f>
        <v>@ENTREESTOY</v>
      </c>
      <c r="C2329" s="8" t="s">
        <v>7883</v>
      </c>
      <c r="D2329" s="9" t="s">
        <v>7884</v>
      </c>
      <c r="E2329" s="10" t="str">
        <f>HYPERLINK("https://twitter.com/ENTREESTOY/status/1070007862485749761","1070007862485749761")</f>
        <v>1070007862485749761</v>
      </c>
      <c r="F2329" s="16" t="s">
        <v>482</v>
      </c>
      <c r="G2329" s="11"/>
      <c r="H2329" s="11"/>
      <c r="I2329" s="12">
        <v>0</v>
      </c>
      <c r="J2329" s="12">
        <v>0</v>
      </c>
      <c r="K2329" s="13" t="str">
        <f>HYPERLINK("http://twitter.com/download/iphone","Twitter for iPhone")</f>
        <v>Twitter for iPhone</v>
      </c>
      <c r="L2329" s="12">
        <v>76</v>
      </c>
      <c r="M2329" s="12">
        <v>139</v>
      </c>
      <c r="N2329" s="12">
        <v>5</v>
      </c>
      <c r="O2329" s="14"/>
      <c r="P2329" s="6">
        <v>41415.133842592593</v>
      </c>
      <c r="Q2329" s="15" t="s">
        <v>7885</v>
      </c>
      <c r="R2329" s="17" t="s">
        <v>7886</v>
      </c>
      <c r="S2329" s="11"/>
      <c r="T2329" s="11"/>
      <c r="U2329" s="10" t="str">
        <f>HYPERLINK("https://pbs.twimg.com/profile_images/676413037583142914/A3yUxAU6.jpg","View")</f>
        <v>View</v>
      </c>
    </row>
    <row r="2330" spans="1:21" ht="20.399999999999999">
      <c r="A2330" s="6">
        <v>43438.771458333329</v>
      </c>
      <c r="B2330" s="7" t="str">
        <f>HYPERLINK("https://twitter.com/JuanNacional5","@JuanNacional5")</f>
        <v>@JuanNacional5</v>
      </c>
      <c r="C2330" s="8" t="s">
        <v>7887</v>
      </c>
      <c r="D2330" s="9" t="s">
        <v>7888</v>
      </c>
      <c r="E2330" s="10" t="str">
        <f>HYPERLINK("https://twitter.com/JuanNacional5/status/1070007548894416896","1070007548894416896")</f>
        <v>1070007548894416896</v>
      </c>
      <c r="F2330" s="11"/>
      <c r="G2330" s="16" t="s">
        <v>7889</v>
      </c>
      <c r="H2330" s="11"/>
      <c r="I2330" s="12">
        <v>0</v>
      </c>
      <c r="J2330" s="12">
        <v>1</v>
      </c>
      <c r="K2330" s="13" t="str">
        <f>HYPERLINK("http://twitter.com/download/android","Twitter for Android")</f>
        <v>Twitter for Android</v>
      </c>
      <c r="L2330" s="12">
        <v>76</v>
      </c>
      <c r="M2330" s="12">
        <v>144</v>
      </c>
      <c r="N2330" s="12">
        <v>2</v>
      </c>
      <c r="O2330" s="14"/>
      <c r="P2330" s="6">
        <v>42990.484143518523</v>
      </c>
      <c r="Q2330" s="11"/>
      <c r="R2330" s="17" t="s">
        <v>7890</v>
      </c>
      <c r="S2330" s="11"/>
      <c r="T2330" s="11"/>
      <c r="U2330" s="10" t="str">
        <f>HYPERLINK("https://pbs.twimg.com/profile_images/917505824641175553/-vmY_aoE.jpg","View")</f>
        <v>View</v>
      </c>
    </row>
    <row r="2331" spans="1:21" ht="51">
      <c r="A2331" s="6">
        <v>43438.769583333335</v>
      </c>
      <c r="B2331" s="7" t="str">
        <f>HYPERLINK("https://twitter.com/ldpsincomplejos","@ldpsincomplejos")</f>
        <v>@ldpsincomplejos</v>
      </c>
      <c r="C2331" s="8" t="s">
        <v>7891</v>
      </c>
      <c r="D2331" s="9" t="s">
        <v>7892</v>
      </c>
      <c r="E2331" s="10" t="str">
        <f>HYPERLINK("https://twitter.com/ldpsincomplejos/status/1070006872663572480","1070006872663572480")</f>
        <v>1070006872663572480</v>
      </c>
      <c r="F2331" s="11"/>
      <c r="G2331" s="11"/>
      <c r="H2331" s="11"/>
      <c r="I2331" s="12">
        <v>794</v>
      </c>
      <c r="J2331" s="12">
        <v>1472</v>
      </c>
      <c r="K2331" s="13" t="str">
        <f>HYPERLINK("http://twitter.com","Twitter Web Client")</f>
        <v>Twitter Web Client</v>
      </c>
      <c r="L2331" s="12">
        <v>110881</v>
      </c>
      <c r="M2331" s="12">
        <v>2642</v>
      </c>
      <c r="N2331" s="12">
        <v>1069</v>
      </c>
      <c r="O2331" s="23" t="s">
        <v>89</v>
      </c>
      <c r="P2331" s="6">
        <v>40566.777245370373</v>
      </c>
      <c r="Q2331" s="15" t="s">
        <v>612</v>
      </c>
      <c r="R2331" s="17" t="s">
        <v>7893</v>
      </c>
      <c r="S2331" s="16" t="s">
        <v>7894</v>
      </c>
      <c r="T2331" s="11"/>
      <c r="U2331" s="10" t="str">
        <f>HYPERLINK("https://pbs.twimg.com/profile_images/1007677959245828097/i-2yAFvg.jpg","View")</f>
        <v>View</v>
      </c>
    </row>
    <row r="2332" spans="1:21" ht="20.399999999999999">
      <c r="A2332" s="6">
        <v>43438.769282407404</v>
      </c>
      <c r="B2332" s="7" t="str">
        <f>HYPERLINK("https://twitter.com/SinPoder10","@SinPoder10")</f>
        <v>@SinPoder10</v>
      </c>
      <c r="C2332" s="8" t="s">
        <v>7895</v>
      </c>
      <c r="D2332" s="9" t="s">
        <v>7896</v>
      </c>
      <c r="E2332" s="10" t="str">
        <f>HYPERLINK("https://twitter.com/SinPoder10/status/1070006762013671424","1070006762013671424")</f>
        <v>1070006762013671424</v>
      </c>
      <c r="F2332" s="11"/>
      <c r="G2332" s="16" t="s">
        <v>7897</v>
      </c>
      <c r="H2332" s="11"/>
      <c r="I2332" s="12">
        <v>1</v>
      </c>
      <c r="J2332" s="12">
        <v>2</v>
      </c>
      <c r="K2332" s="13" t="str">
        <f t="shared" ref="K2332:K2333" si="526">HYPERLINK("http://twitter.com/download/android","Twitter for Android")</f>
        <v>Twitter for Android</v>
      </c>
      <c r="L2332" s="12">
        <v>1056</v>
      </c>
      <c r="M2332" s="12">
        <v>1670</v>
      </c>
      <c r="N2332" s="12">
        <v>17</v>
      </c>
      <c r="O2332" s="14"/>
      <c r="P2332" s="6">
        <v>40025.563240740739</v>
      </c>
      <c r="Q2332" s="11"/>
      <c r="R2332" s="18"/>
      <c r="S2332" s="11"/>
      <c r="T2332" s="11"/>
      <c r="U2332" s="10" t="str">
        <f>HYPERLINK("https://pbs.twimg.com/profile_images/1043478051781263360/gmKo82wf.jpg","View")</f>
        <v>View</v>
      </c>
    </row>
    <row r="2333" spans="1:21" ht="30.6">
      <c r="A2333" s="6">
        <v>43438.765196759261</v>
      </c>
      <c r="B2333" s="7" t="str">
        <f>HYPERLINK("https://twitter.com/Elarkerorojo9","@Elarkerorojo9")</f>
        <v>@Elarkerorojo9</v>
      </c>
      <c r="C2333" s="8" t="s">
        <v>7898</v>
      </c>
      <c r="D2333" s="9" t="s">
        <v>7899</v>
      </c>
      <c r="E2333" s="10" t="str">
        <f>HYPERLINK("https://twitter.com/Elarkerorojo9/status/1070005280988114944","1070005280988114944")</f>
        <v>1070005280988114944</v>
      </c>
      <c r="F2333" s="11"/>
      <c r="G2333" s="11"/>
      <c r="H2333" s="11"/>
      <c r="I2333" s="12">
        <v>1</v>
      </c>
      <c r="J2333" s="12">
        <v>4</v>
      </c>
      <c r="K2333" s="13" t="str">
        <f t="shared" si="526"/>
        <v>Twitter for Android</v>
      </c>
      <c r="L2333" s="12">
        <v>325</v>
      </c>
      <c r="M2333" s="12">
        <v>740</v>
      </c>
      <c r="N2333" s="12">
        <v>7</v>
      </c>
      <c r="O2333" s="14"/>
      <c r="P2333" s="6">
        <v>42031.749664351853</v>
      </c>
      <c r="Q2333" s="11"/>
      <c r="R2333" s="17" t="s">
        <v>7900</v>
      </c>
      <c r="S2333" s="11"/>
      <c r="T2333" s="11"/>
      <c r="U2333" s="10" t="str">
        <f>HYPERLINK("https://pbs.twimg.com/profile_images/1040239970504663040/5GA-98a8.jpg","View")</f>
        <v>View</v>
      </c>
    </row>
    <row r="2334" spans="1:21" ht="112.2">
      <c r="A2334" s="6">
        <v>43438.763171296298</v>
      </c>
      <c r="B2334" s="7" t="str">
        <f>HYPERLINK("https://twitter.com/doralfaro","@doralfaro")</f>
        <v>@doralfaro</v>
      </c>
      <c r="C2334" s="8" t="s">
        <v>7901</v>
      </c>
      <c r="D2334" s="9" t="s">
        <v>7902</v>
      </c>
      <c r="E2334" s="10" t="str">
        <f>HYPERLINK("https://twitter.com/doralfaro/status/1070004547727306752","1070004547727306752")</f>
        <v>1070004547727306752</v>
      </c>
      <c r="F2334" s="16" t="s">
        <v>5704</v>
      </c>
      <c r="G2334" s="11"/>
      <c r="H2334" s="11"/>
      <c r="I2334" s="12">
        <v>0</v>
      </c>
      <c r="J2334" s="12">
        <v>1</v>
      </c>
      <c r="K2334" s="13" t="str">
        <f>HYPERLINK("http://twitter.com/#!/download/ipad","Twitter for iPad")</f>
        <v>Twitter for iPad</v>
      </c>
      <c r="L2334" s="12">
        <v>124</v>
      </c>
      <c r="M2334" s="12">
        <v>203</v>
      </c>
      <c r="N2334" s="12">
        <v>5</v>
      </c>
      <c r="O2334" s="14"/>
      <c r="P2334" s="6">
        <v>41030.714467592596</v>
      </c>
      <c r="Q2334" s="15" t="s">
        <v>7903</v>
      </c>
      <c r="R2334" s="17" t="s">
        <v>7904</v>
      </c>
      <c r="S2334" s="11"/>
      <c r="T2334" s="11"/>
      <c r="U2334" s="10" t="str">
        <f>HYPERLINK("https://pbs.twimg.com/profile_images/534753831574196224/G6f1J-6m.jpeg","View")</f>
        <v>View</v>
      </c>
    </row>
    <row r="2335" spans="1:21" ht="30.6">
      <c r="A2335" s="6">
        <v>43438.762731481482</v>
      </c>
      <c r="B2335" s="7" t="str">
        <f>HYPERLINK("https://twitter.com/LacollejadeSole","@LacollejadeSole")</f>
        <v>@LacollejadeSole</v>
      </c>
      <c r="C2335" s="8" t="s">
        <v>7905</v>
      </c>
      <c r="D2335" s="9" t="s">
        <v>7906</v>
      </c>
      <c r="E2335" s="10" t="str">
        <f>HYPERLINK("https://twitter.com/LacollejadeSole/status/1070004389627289601","1070004389627289601")</f>
        <v>1070004389627289601</v>
      </c>
      <c r="F2335" s="15" t="s">
        <v>7907</v>
      </c>
      <c r="G2335" s="11"/>
      <c r="H2335" s="11"/>
      <c r="I2335" s="12">
        <v>0</v>
      </c>
      <c r="J2335" s="12">
        <v>0</v>
      </c>
      <c r="K2335" s="13" t="str">
        <f>HYPERLINK("http://twitter.com/download/android","Twitter for Android")</f>
        <v>Twitter for Android</v>
      </c>
      <c r="L2335" s="12">
        <v>330</v>
      </c>
      <c r="M2335" s="12">
        <v>300</v>
      </c>
      <c r="N2335" s="12">
        <v>11</v>
      </c>
      <c r="O2335" s="14"/>
      <c r="P2335" s="6">
        <v>42156.115902777776</v>
      </c>
      <c r="Q2335" s="15" t="s">
        <v>7908</v>
      </c>
      <c r="R2335" s="17" t="s">
        <v>7909</v>
      </c>
      <c r="S2335" s="11"/>
      <c r="T2335" s="11"/>
      <c r="U2335" s="10" t="str">
        <f>HYPERLINK("https://pbs.twimg.com/profile_images/605174458429648897/42u4opVG.jpg","View")</f>
        <v>View</v>
      </c>
    </row>
    <row r="2336" spans="1:21" ht="51">
      <c r="A2336" s="6">
        <v>43438.762615740736</v>
      </c>
      <c r="B2336" s="7" t="str">
        <f>HYPERLINK("https://twitter.com/fcomartnez","@fcomartnez")</f>
        <v>@fcomartnez</v>
      </c>
      <c r="C2336" s="8" t="s">
        <v>3081</v>
      </c>
      <c r="D2336" s="9" t="s">
        <v>7910</v>
      </c>
      <c r="E2336" s="10" t="str">
        <f>HYPERLINK("https://twitter.com/fcomartnez/status/1070004344689446913","1070004344689446913")</f>
        <v>1070004344689446913</v>
      </c>
      <c r="F2336" s="16" t="s">
        <v>7911</v>
      </c>
      <c r="G2336" s="11"/>
      <c r="H2336" s="11"/>
      <c r="I2336" s="12">
        <v>0</v>
      </c>
      <c r="J2336" s="12">
        <v>0</v>
      </c>
      <c r="K2336" s="13" t="str">
        <f>HYPERLINK("http://twitter.com","Twitter Web Client")</f>
        <v>Twitter Web Client</v>
      </c>
      <c r="L2336" s="12">
        <v>2840</v>
      </c>
      <c r="M2336" s="12">
        <v>2839</v>
      </c>
      <c r="N2336" s="12">
        <v>15</v>
      </c>
      <c r="O2336" s="14"/>
      <c r="P2336" s="6">
        <v>40682.76059027778</v>
      </c>
      <c r="Q2336" s="15" t="s">
        <v>197</v>
      </c>
      <c r="R2336" s="17" t="s">
        <v>3084</v>
      </c>
      <c r="S2336" s="11"/>
      <c r="T2336" s="11"/>
      <c r="U2336" s="10" t="str">
        <f>HYPERLINK("https://pbs.twimg.com/profile_images/1537287110/twentti.jpg","View")</f>
        <v>View</v>
      </c>
    </row>
    <row r="2337" spans="1:21" ht="13.2">
      <c r="A2337" s="6">
        <v>43438.761759259258</v>
      </c>
      <c r="B2337" s="7" t="str">
        <f>HYPERLINK("https://twitter.com/MLuzPanillo","@MLuzPanillo")</f>
        <v>@MLuzPanillo</v>
      </c>
      <c r="C2337" s="8" t="s">
        <v>2570</v>
      </c>
      <c r="D2337" s="9" t="s">
        <v>2087</v>
      </c>
      <c r="E2337" s="10" t="str">
        <f>HYPERLINK("https://twitter.com/MLuzPanillo/status/1070004036705927168","1070004036705927168")</f>
        <v>1070004036705927168</v>
      </c>
      <c r="F2337" s="16" t="s">
        <v>2088</v>
      </c>
      <c r="G2337" s="11"/>
      <c r="H2337" s="11"/>
      <c r="I2337" s="12">
        <v>0</v>
      </c>
      <c r="J2337" s="12">
        <v>0</v>
      </c>
      <c r="K2337" s="13" t="str">
        <f t="shared" ref="K2337:K2339" si="527">HYPERLINK("http://twitter.com/download/android","Twitter for Android")</f>
        <v>Twitter for Android</v>
      </c>
      <c r="L2337" s="12">
        <v>188</v>
      </c>
      <c r="M2337" s="12">
        <v>317</v>
      </c>
      <c r="N2337" s="12">
        <v>2</v>
      </c>
      <c r="O2337" s="14"/>
      <c r="P2337" s="6">
        <v>42731.894143518519</v>
      </c>
      <c r="Q2337" s="11"/>
      <c r="R2337" s="18"/>
      <c r="S2337" s="11"/>
      <c r="T2337" s="11"/>
      <c r="U2337" s="10" t="str">
        <f>HYPERLINK("https://pbs.twimg.com/profile_images/813846198129926145/_6EeJWWX.jpg","View")</f>
        <v>View</v>
      </c>
    </row>
    <row r="2338" spans="1:21" ht="71.400000000000006">
      <c r="A2338" s="6">
        <v>43438.761516203704</v>
      </c>
      <c r="B2338" s="7" t="str">
        <f>HYPERLINK("https://twitter.com/SergioSariegu","@SergioSariegu")</f>
        <v>@SergioSariegu</v>
      </c>
      <c r="C2338" s="8" t="s">
        <v>7912</v>
      </c>
      <c r="D2338" s="9" t="s">
        <v>7913</v>
      </c>
      <c r="E2338" s="10" t="str">
        <f>HYPERLINK("https://twitter.com/SergioSariegu/status/1070003948994605056","1070003948994605056")</f>
        <v>1070003948994605056</v>
      </c>
      <c r="F2338" s="16" t="s">
        <v>43</v>
      </c>
      <c r="G2338" s="11"/>
      <c r="H2338" s="11"/>
      <c r="I2338" s="12">
        <v>1</v>
      </c>
      <c r="J2338" s="12">
        <v>1</v>
      </c>
      <c r="K2338" s="13" t="str">
        <f t="shared" si="527"/>
        <v>Twitter for Android</v>
      </c>
      <c r="L2338" s="12">
        <v>2024</v>
      </c>
      <c r="M2338" s="12">
        <v>1348</v>
      </c>
      <c r="N2338" s="12">
        <v>45</v>
      </c>
      <c r="O2338" s="14"/>
      <c r="P2338" s="6">
        <v>40387.744780092595</v>
      </c>
      <c r="Q2338" s="15" t="s">
        <v>7914</v>
      </c>
      <c r="R2338" s="17" t="s">
        <v>7915</v>
      </c>
      <c r="S2338" s="16" t="s">
        <v>7916</v>
      </c>
      <c r="T2338" s="11"/>
      <c r="U2338" s="10" t="str">
        <f>HYPERLINK("https://pbs.twimg.com/profile_images/992128325857501190/FjkObOtL.jpg","View")</f>
        <v>View</v>
      </c>
    </row>
    <row r="2339" spans="1:21" ht="112.2">
      <c r="A2339" s="6">
        <v>43438.760416666672</v>
      </c>
      <c r="B2339" s="7" t="str">
        <f>HYPERLINK("https://twitter.com/JosGOSALBEZ1","@JosGOSALBEZ1")</f>
        <v>@JosGOSALBEZ1</v>
      </c>
      <c r="C2339" s="8" t="s">
        <v>6070</v>
      </c>
      <c r="D2339" s="9" t="s">
        <v>7917</v>
      </c>
      <c r="E2339" s="10" t="str">
        <f>HYPERLINK("https://twitter.com/JosGOSALBEZ1/status/1070003549025771521","1070003549025771521")</f>
        <v>1070003549025771521</v>
      </c>
      <c r="F2339" s="16" t="s">
        <v>7577</v>
      </c>
      <c r="G2339" s="11"/>
      <c r="H2339" s="11"/>
      <c r="I2339" s="12">
        <v>1</v>
      </c>
      <c r="J2339" s="12">
        <v>3</v>
      </c>
      <c r="K2339" s="13" t="str">
        <f t="shared" si="527"/>
        <v>Twitter for Android</v>
      </c>
      <c r="L2339" s="12">
        <v>77</v>
      </c>
      <c r="M2339" s="12">
        <v>43</v>
      </c>
      <c r="N2339" s="12">
        <v>0</v>
      </c>
      <c r="O2339" s="14"/>
      <c r="P2339" s="6">
        <v>43380.871759259258</v>
      </c>
      <c r="Q2339" s="11"/>
      <c r="R2339" s="17" t="s">
        <v>6073</v>
      </c>
      <c r="S2339" s="11"/>
      <c r="T2339" s="11"/>
      <c r="U2339" s="10" t="str">
        <f>HYPERLINK("https://pbs.twimg.com/profile_images/1049320152691556355/-BVmVU_Q.jpg","View")</f>
        <v>View</v>
      </c>
    </row>
    <row r="2340" spans="1:21" ht="51">
      <c r="A2340" s="6">
        <v>43438.759560185186</v>
      </c>
      <c r="B2340" s="7" t="str">
        <f>HYPERLINK("https://twitter.com/manuelmadrid_","@manuelmadrid_")</f>
        <v>@manuelmadrid_</v>
      </c>
      <c r="C2340" s="8" t="s">
        <v>7918</v>
      </c>
      <c r="D2340" s="9" t="s">
        <v>7919</v>
      </c>
      <c r="E2340" s="10" t="str">
        <f>HYPERLINK("https://twitter.com/manuelmadrid_/status/1070003238013939712","1070003238013939712")</f>
        <v>1070003238013939712</v>
      </c>
      <c r="F2340" s="16" t="s">
        <v>7920</v>
      </c>
      <c r="G2340" s="11"/>
      <c r="H2340" s="11"/>
      <c r="I2340" s="12">
        <v>0</v>
      </c>
      <c r="J2340" s="12">
        <v>0</v>
      </c>
      <c r="K2340" s="13" t="str">
        <f t="shared" ref="K2340:K2341" si="528">HYPERLINK("http://twitter.com","Twitter Web Client")</f>
        <v>Twitter Web Client</v>
      </c>
      <c r="L2340" s="12">
        <v>3359</v>
      </c>
      <c r="M2340" s="12">
        <v>4975</v>
      </c>
      <c r="N2340" s="12">
        <v>32</v>
      </c>
      <c r="O2340" s="14"/>
      <c r="P2340" s="6">
        <v>40613.707152777773</v>
      </c>
      <c r="Q2340" s="15" t="s">
        <v>954</v>
      </c>
      <c r="R2340" s="18"/>
      <c r="S2340" s="11"/>
      <c r="T2340" s="11"/>
      <c r="U2340" s="10" t="str">
        <f>HYPERLINK("https://pbs.twimg.com/profile_images/1059509679301296130/iHVPBNp1.jpg","View")</f>
        <v>View</v>
      </c>
    </row>
    <row r="2341" spans="1:21" ht="30.6">
      <c r="A2341" s="6">
        <v>43438.759282407409</v>
      </c>
      <c r="B2341" s="7" t="str">
        <f>HYPERLINK("https://twitter.com/cocademolletes","@cocademolletes")</f>
        <v>@cocademolletes</v>
      </c>
      <c r="C2341" s="8" t="s">
        <v>7921</v>
      </c>
      <c r="D2341" s="9" t="s">
        <v>7922</v>
      </c>
      <c r="E2341" s="10" t="str">
        <f>HYPERLINK("https://twitter.com/cocademolletes/status/1070003139393273858","1070003139393273858")</f>
        <v>1070003139393273858</v>
      </c>
      <c r="F2341" s="11"/>
      <c r="G2341" s="11"/>
      <c r="H2341" s="11"/>
      <c r="I2341" s="12">
        <v>3</v>
      </c>
      <c r="J2341" s="12">
        <v>21</v>
      </c>
      <c r="K2341" s="13" t="str">
        <f t="shared" si="528"/>
        <v>Twitter Web Client</v>
      </c>
      <c r="L2341" s="12">
        <v>304</v>
      </c>
      <c r="M2341" s="12">
        <v>266</v>
      </c>
      <c r="N2341" s="12">
        <v>7</v>
      </c>
      <c r="O2341" s="14"/>
      <c r="P2341" s="6">
        <v>41614.982418981483</v>
      </c>
      <c r="Q2341" s="11"/>
      <c r="R2341" s="17" t="s">
        <v>7923</v>
      </c>
      <c r="S2341" s="16" t="s">
        <v>7924</v>
      </c>
      <c r="T2341" s="11"/>
      <c r="U2341" s="10" t="str">
        <f>HYPERLINK("https://pbs.twimg.com/profile_images/1053291356238630912/_EzQVl_X.jpg","View")</f>
        <v>View</v>
      </c>
    </row>
    <row r="2342" spans="1:21" ht="30.6">
      <c r="A2342" s="6">
        <v>43438.757928240739</v>
      </c>
      <c r="B2342" s="7" t="str">
        <f>HYPERLINK("https://twitter.com/FAHRT4","@FAHRT4")</f>
        <v>@FAHRT4</v>
      </c>
      <c r="C2342" s="8" t="s">
        <v>7925</v>
      </c>
      <c r="D2342" s="9" t="s">
        <v>7926</v>
      </c>
      <c r="E2342" s="10" t="str">
        <f>HYPERLINK("https://twitter.com/FAHRT4/status/1070002646533193734","1070002646533193734")</f>
        <v>1070002646533193734</v>
      </c>
      <c r="F2342" s="11"/>
      <c r="G2342" s="16" t="s">
        <v>7927</v>
      </c>
      <c r="H2342" s="11"/>
      <c r="I2342" s="12">
        <v>1</v>
      </c>
      <c r="J2342" s="12">
        <v>2</v>
      </c>
      <c r="K2342" s="13" t="str">
        <f>HYPERLINK("http://twitter.com/download/iphone","Twitter for iPhone")</f>
        <v>Twitter for iPhone</v>
      </c>
      <c r="L2342" s="12">
        <v>75</v>
      </c>
      <c r="M2342" s="12">
        <v>330</v>
      </c>
      <c r="N2342" s="12">
        <v>1</v>
      </c>
      <c r="O2342" s="14"/>
      <c r="P2342" s="6">
        <v>42359.758726851855</v>
      </c>
      <c r="Q2342" s="15" t="s">
        <v>185</v>
      </c>
      <c r="R2342" s="17" t="s">
        <v>7928</v>
      </c>
      <c r="S2342" s="11"/>
      <c r="T2342" s="11"/>
      <c r="U2342" s="10" t="str">
        <f>HYPERLINK("https://pbs.twimg.com/profile_images/679236499808894977/Pmz4XUHp.jpg","View")</f>
        <v>View</v>
      </c>
    </row>
    <row r="2343" spans="1:21" ht="71.400000000000006">
      <c r="A2343" s="6">
        <v>43438.757916666669</v>
      </c>
      <c r="B2343" s="7" t="str">
        <f>HYPERLINK("https://twitter.com/carmelodifazio","@carmelodifazio")</f>
        <v>@carmelodifazio</v>
      </c>
      <c r="C2343" s="8" t="s">
        <v>1172</v>
      </c>
      <c r="D2343" s="9" t="s">
        <v>7929</v>
      </c>
      <c r="E2343" s="10" t="str">
        <f>HYPERLINK("https://twitter.com/carmelodifazio/status/1070002641894326273","1070002641894326273")</f>
        <v>1070002641894326273</v>
      </c>
      <c r="F2343" s="16" t="s">
        <v>7930</v>
      </c>
      <c r="G2343" s="16" t="s">
        <v>7931</v>
      </c>
      <c r="H2343" s="11"/>
      <c r="I2343" s="12">
        <v>11</v>
      </c>
      <c r="J2343" s="12">
        <v>13</v>
      </c>
      <c r="K2343" s="13" t="str">
        <f t="shared" ref="K2343:K2344" si="529">HYPERLINK("http://twitter.com","Twitter Web Client")</f>
        <v>Twitter Web Client</v>
      </c>
      <c r="L2343" s="12">
        <v>67620</v>
      </c>
      <c r="M2343" s="12">
        <v>29898</v>
      </c>
      <c r="N2343" s="12">
        <v>249</v>
      </c>
      <c r="O2343" s="14"/>
      <c r="P2343" s="6">
        <v>40525.98883101852</v>
      </c>
      <c r="Q2343" s="15" t="s">
        <v>1175</v>
      </c>
      <c r="R2343" s="17" t="s">
        <v>1176</v>
      </c>
      <c r="S2343" s="16" t="s">
        <v>1177</v>
      </c>
      <c r="T2343" s="11"/>
      <c r="U2343" s="10" t="str">
        <f>HYPERLINK("https://pbs.twimg.com/profile_images/1069385468406652930/Fe_Drk4k.jpg","View")</f>
        <v>View</v>
      </c>
    </row>
    <row r="2344" spans="1:21" ht="30.6">
      <c r="A2344" s="6">
        <v>43438.752962962964</v>
      </c>
      <c r="B2344" s="7" t="str">
        <f>HYPERLINK("https://twitter.com/trespies3","@trespies3")</f>
        <v>@trespies3</v>
      </c>
      <c r="C2344" s="8" t="s">
        <v>7932</v>
      </c>
      <c r="D2344" s="9" t="s">
        <v>7933</v>
      </c>
      <c r="E2344" s="10" t="str">
        <f>HYPERLINK("https://twitter.com/trespies3/status/1070000848602914821","1070000848602914821")</f>
        <v>1070000848602914821</v>
      </c>
      <c r="F2344" s="11"/>
      <c r="G2344" s="16" t="s">
        <v>7934</v>
      </c>
      <c r="H2344" s="11"/>
      <c r="I2344" s="12">
        <v>0</v>
      </c>
      <c r="J2344" s="12">
        <v>0</v>
      </c>
      <c r="K2344" s="13" t="str">
        <f t="shared" si="529"/>
        <v>Twitter Web Client</v>
      </c>
      <c r="L2344" s="12">
        <v>1236</v>
      </c>
      <c r="M2344" s="12">
        <v>1018</v>
      </c>
      <c r="N2344" s="12">
        <v>32</v>
      </c>
      <c r="O2344" s="14"/>
      <c r="P2344" s="6">
        <v>40652.368356481486</v>
      </c>
      <c r="Q2344" s="11"/>
      <c r="R2344" s="18"/>
      <c r="S2344" s="11"/>
      <c r="T2344" s="11"/>
      <c r="U2344" s="10" t="str">
        <f>HYPERLINK("https://pbs.twimg.com/profile_images/798789089231126528/FpLgeWey.jpg","View")</f>
        <v>View</v>
      </c>
    </row>
    <row r="2345" spans="1:21" ht="51">
      <c r="A2345" s="6">
        <v>43438.751851851848</v>
      </c>
      <c r="B2345" s="7" t="str">
        <f>HYPERLINK("https://twitter.com/Oscarmarcos80","@Oscarmarcos80")</f>
        <v>@Oscarmarcos80</v>
      </c>
      <c r="C2345" s="8" t="s">
        <v>7935</v>
      </c>
      <c r="D2345" s="9" t="s">
        <v>7936</v>
      </c>
      <c r="E2345" s="10" t="str">
        <f>HYPERLINK("https://twitter.com/Oscarmarcos80/status/1070000446843035649","1070000446843035649")</f>
        <v>1070000446843035649</v>
      </c>
      <c r="F2345" s="11"/>
      <c r="G2345" s="11"/>
      <c r="H2345" s="11"/>
      <c r="I2345" s="12">
        <v>14</v>
      </c>
      <c r="J2345" s="12">
        <v>19</v>
      </c>
      <c r="K2345" s="13" t="str">
        <f>HYPERLINK("http://twitter.com/download/android","Twitter for Android")</f>
        <v>Twitter for Android</v>
      </c>
      <c r="L2345" s="12">
        <v>82</v>
      </c>
      <c r="M2345" s="12">
        <v>170</v>
      </c>
      <c r="N2345" s="12">
        <v>1</v>
      </c>
      <c r="O2345" s="14"/>
      <c r="P2345" s="6">
        <v>42773.283321759256</v>
      </c>
      <c r="Q2345" s="15" t="s">
        <v>7937</v>
      </c>
      <c r="R2345" s="17" t="s">
        <v>7938</v>
      </c>
      <c r="S2345" s="11"/>
      <c r="T2345" s="11"/>
      <c r="U2345" s="10" t="str">
        <f>HYPERLINK("https://pbs.twimg.com/profile_images/829437823094763521/vZ9VH2v-.jpg","View")</f>
        <v>View</v>
      </c>
    </row>
    <row r="2346" spans="1:21" ht="51">
      <c r="A2346" s="6">
        <v>43438.751388888893</v>
      </c>
      <c r="B2346" s="7" t="str">
        <f t="shared" ref="B2346:B2347" si="530">HYPERLINK("https://twitter.com/bitMomentum","@bitMomentum")</f>
        <v>@bitMomentum</v>
      </c>
      <c r="C2346" s="8" t="s">
        <v>82</v>
      </c>
      <c r="D2346" s="9" t="s">
        <v>7939</v>
      </c>
      <c r="E2346" s="10" t="str">
        <f>HYPERLINK("https://twitter.com/bitMomentum/status/1070000276264939522","1070000276264939522")</f>
        <v>1070000276264939522</v>
      </c>
      <c r="F2346" s="11"/>
      <c r="G2346" s="11"/>
      <c r="H2346" s="11"/>
      <c r="I2346" s="12">
        <v>0</v>
      </c>
      <c r="J2346" s="12">
        <v>0</v>
      </c>
      <c r="K2346" s="13" t="str">
        <f t="shared" ref="K2346:K2347" si="531">HYPERLINK("http://www.bitmomentum.com","bitMomentum Bot")</f>
        <v>bitMomentum Bot</v>
      </c>
      <c r="L2346" s="12">
        <v>10253</v>
      </c>
      <c r="M2346" s="12">
        <v>1059</v>
      </c>
      <c r="N2346" s="12">
        <v>263</v>
      </c>
      <c r="O2346" s="14"/>
      <c r="P2346" s="6">
        <v>41608.667511574073</v>
      </c>
      <c r="Q2346" s="11"/>
      <c r="R2346" s="17" t="s">
        <v>84</v>
      </c>
      <c r="S2346" s="16" t="s">
        <v>85</v>
      </c>
      <c r="T2346" s="11"/>
      <c r="U2346" s="10" t="str">
        <f t="shared" ref="U2346:U2347" si="532">HYPERLINK("https://pbs.twimg.com/profile_images/378800000862185241/20ij2H3u.png","View")</f>
        <v>View</v>
      </c>
    </row>
    <row r="2347" spans="1:21" ht="51">
      <c r="A2347" s="6">
        <v>43438.750694444447</v>
      </c>
      <c r="B2347" s="7" t="str">
        <f t="shared" si="530"/>
        <v>@bitMomentum</v>
      </c>
      <c r="C2347" s="8" t="s">
        <v>82</v>
      </c>
      <c r="D2347" s="9" t="s">
        <v>7940</v>
      </c>
      <c r="E2347" s="10" t="str">
        <f>HYPERLINK("https://twitter.com/bitMomentum/status/1070000024476704768","1070000024476704768")</f>
        <v>1070000024476704768</v>
      </c>
      <c r="F2347" s="11"/>
      <c r="G2347" s="11"/>
      <c r="H2347" s="11"/>
      <c r="I2347" s="12">
        <v>0</v>
      </c>
      <c r="J2347" s="12">
        <v>0</v>
      </c>
      <c r="K2347" s="13" t="str">
        <f t="shared" si="531"/>
        <v>bitMomentum Bot</v>
      </c>
      <c r="L2347" s="12">
        <v>10253</v>
      </c>
      <c r="M2347" s="12">
        <v>1059</v>
      </c>
      <c r="N2347" s="12">
        <v>263</v>
      </c>
      <c r="O2347" s="14"/>
      <c r="P2347" s="6">
        <v>41608.667511574073</v>
      </c>
      <c r="Q2347" s="11"/>
      <c r="R2347" s="17" t="s">
        <v>84</v>
      </c>
      <c r="S2347" s="16" t="s">
        <v>85</v>
      </c>
      <c r="T2347" s="11"/>
      <c r="U2347" s="10" t="str">
        <f t="shared" si="532"/>
        <v>View</v>
      </c>
    </row>
    <row r="2348" spans="1:21" ht="61.2">
      <c r="A2348" s="6">
        <v>43438.75001157407</v>
      </c>
      <c r="B2348" s="7" t="str">
        <f>HYPERLINK("https://twitter.com/AlvaroMunozRey","@AlvaroMunozRey")</f>
        <v>@AlvaroMunozRey</v>
      </c>
      <c r="C2348" s="8" t="s">
        <v>7941</v>
      </c>
      <c r="D2348" s="9" t="s">
        <v>7942</v>
      </c>
      <c r="E2348" s="10" t="str">
        <f>HYPERLINK("https://twitter.com/AlvaroMunozRey/status/1069999779583799298","1069999779583799298")</f>
        <v>1069999779583799298</v>
      </c>
      <c r="F2348" s="11"/>
      <c r="G2348" s="11"/>
      <c r="H2348" s="11"/>
      <c r="I2348" s="12">
        <v>0</v>
      </c>
      <c r="J2348" s="12">
        <v>0</v>
      </c>
      <c r="K2348" s="13" t="str">
        <f t="shared" ref="K2348:K2349" si="533">HYPERLINK("http://twitter.com/download/android","Twitter for Android")</f>
        <v>Twitter for Android</v>
      </c>
      <c r="L2348" s="12">
        <v>11</v>
      </c>
      <c r="M2348" s="12">
        <v>73</v>
      </c>
      <c r="N2348" s="12">
        <v>0</v>
      </c>
      <c r="O2348" s="14"/>
      <c r="P2348" s="6">
        <v>42518.754953703705</v>
      </c>
      <c r="Q2348" s="11"/>
      <c r="R2348" s="18"/>
      <c r="S2348" s="11"/>
      <c r="T2348" s="11"/>
      <c r="U2348" s="10" t="str">
        <f>HYPERLINK("https://pbs.twimg.com/profile_images/1063862508124028929/dzP5TIGO.jpg","View")</f>
        <v>View</v>
      </c>
    </row>
    <row r="2349" spans="1:21" ht="40.799999999999997">
      <c r="A2349" s="6">
        <v>43438.747569444444</v>
      </c>
      <c r="B2349" s="7" t="str">
        <f>HYPERLINK("https://twitter.com/alvaroalorev","@alvaroalorev")</f>
        <v>@alvaroalorev</v>
      </c>
      <c r="C2349" s="8" t="s">
        <v>7943</v>
      </c>
      <c r="D2349" s="9" t="s">
        <v>7944</v>
      </c>
      <c r="E2349" s="10" t="str">
        <f>HYPERLINK("https://twitter.com/alvaroalorev/status/1069998892954079232","1069998892954079232")</f>
        <v>1069998892954079232</v>
      </c>
      <c r="F2349" s="11"/>
      <c r="G2349" s="11"/>
      <c r="H2349" s="11"/>
      <c r="I2349" s="12">
        <v>0</v>
      </c>
      <c r="J2349" s="12">
        <v>0</v>
      </c>
      <c r="K2349" s="13" t="str">
        <f t="shared" si="533"/>
        <v>Twitter for Android</v>
      </c>
      <c r="L2349" s="12">
        <v>801</v>
      </c>
      <c r="M2349" s="12">
        <v>1255</v>
      </c>
      <c r="N2349" s="12">
        <v>17</v>
      </c>
      <c r="O2349" s="14"/>
      <c r="P2349" s="6">
        <v>41240.857303240744</v>
      </c>
      <c r="Q2349" s="15" t="s">
        <v>7945</v>
      </c>
      <c r="R2349" s="17" t="s">
        <v>7946</v>
      </c>
      <c r="S2349" s="11"/>
      <c r="T2349" s="11"/>
      <c r="U2349" s="10" t="str">
        <f>HYPERLINK("https://pbs.twimg.com/profile_images/1038096520007036929/eazfFO8N.jpg","View")</f>
        <v>View</v>
      </c>
    </row>
    <row r="2350" spans="1:21" ht="51">
      <c r="A2350" s="6">
        <v>43438.746874999997</v>
      </c>
      <c r="B2350" s="7" t="str">
        <f>HYPERLINK("https://twitter.com/soloalexandre","@soloalexandre")</f>
        <v>@soloalexandre</v>
      </c>
      <c r="C2350" s="8" t="s">
        <v>6650</v>
      </c>
      <c r="D2350" s="9" t="s">
        <v>7947</v>
      </c>
      <c r="E2350" s="10" t="str">
        <f>HYPERLINK("https://twitter.com/soloalexandre/status/1069998640914202624","1069998640914202624")</f>
        <v>1069998640914202624</v>
      </c>
      <c r="F2350" s="16" t="s">
        <v>7948</v>
      </c>
      <c r="G2350" s="11"/>
      <c r="H2350" s="11"/>
      <c r="I2350" s="12">
        <v>6</v>
      </c>
      <c r="J2350" s="12">
        <v>10</v>
      </c>
      <c r="K2350" s="13" t="str">
        <f t="shared" ref="K2350:K2352" si="534">HYPERLINK("http://twitter.com","Twitter Web Client")</f>
        <v>Twitter Web Client</v>
      </c>
      <c r="L2350" s="12">
        <v>9031</v>
      </c>
      <c r="M2350" s="12">
        <v>377</v>
      </c>
      <c r="N2350" s="12">
        <v>50</v>
      </c>
      <c r="O2350" s="14"/>
      <c r="P2350" s="6">
        <v>41711.438611111109</v>
      </c>
      <c r="Q2350" s="15" t="s">
        <v>6653</v>
      </c>
      <c r="R2350" s="17" t="s">
        <v>6654</v>
      </c>
      <c r="S2350" s="16" t="s">
        <v>6655</v>
      </c>
      <c r="T2350" s="11"/>
      <c r="U2350" s="10" t="str">
        <f>HYPERLINK("https://pbs.twimg.com/profile_images/1050414624414281729/Jsc8n7Qh.jpg","View")</f>
        <v>View</v>
      </c>
    </row>
    <row r="2351" spans="1:21" ht="40.799999999999997">
      <c r="A2351" s="6">
        <v>43438.746770833328</v>
      </c>
      <c r="B2351" s="7" t="str">
        <f>HYPERLINK("https://twitter.com/Abberline21","@Abberline21")</f>
        <v>@Abberline21</v>
      </c>
      <c r="C2351" s="8" t="s">
        <v>7949</v>
      </c>
      <c r="D2351" s="9" t="s">
        <v>7950</v>
      </c>
      <c r="E2351" s="10" t="str">
        <f>HYPERLINK("https://twitter.com/Abberline21/status/1069998605828874240","1069998605828874240")</f>
        <v>1069998605828874240</v>
      </c>
      <c r="F2351" s="16" t="s">
        <v>7951</v>
      </c>
      <c r="G2351" s="11"/>
      <c r="H2351" s="11"/>
      <c r="I2351" s="12">
        <v>0</v>
      </c>
      <c r="J2351" s="12">
        <v>0</v>
      </c>
      <c r="K2351" s="13" t="str">
        <f t="shared" si="534"/>
        <v>Twitter Web Client</v>
      </c>
      <c r="L2351" s="12">
        <v>757</v>
      </c>
      <c r="M2351" s="12">
        <v>1533</v>
      </c>
      <c r="N2351" s="12">
        <v>0</v>
      </c>
      <c r="O2351" s="14"/>
      <c r="P2351" s="6">
        <v>41893.804259259261</v>
      </c>
      <c r="Q2351" s="11"/>
      <c r="R2351" s="17" t="s">
        <v>7952</v>
      </c>
      <c r="S2351" s="11"/>
      <c r="T2351" s="11"/>
      <c r="U2351" s="10" t="str">
        <f>HYPERLINK("https://pbs.twimg.com/profile_images/1057683468115738624/lkteWEtk.jpg","View")</f>
        <v>View</v>
      </c>
    </row>
    <row r="2352" spans="1:21" ht="40.799999999999997">
      <c r="A2352" s="6">
        <v>43438.745034722218</v>
      </c>
      <c r="B2352" s="7" t="str">
        <f>HYPERLINK("https://twitter.com/alberocope","@alberocope")</f>
        <v>@alberocope</v>
      </c>
      <c r="C2352" s="8" t="s">
        <v>7953</v>
      </c>
      <c r="D2352" s="9" t="s">
        <v>7954</v>
      </c>
      <c r="E2352" s="10" t="str">
        <f>HYPERLINK("https://twitter.com/alberocope/status/1069997975936606208","1069997975936606208")</f>
        <v>1069997975936606208</v>
      </c>
      <c r="F2352" s="16" t="s">
        <v>7955</v>
      </c>
      <c r="G2352" s="16" t="s">
        <v>7956</v>
      </c>
      <c r="H2352" s="11"/>
      <c r="I2352" s="12">
        <v>13</v>
      </c>
      <c r="J2352" s="12">
        <v>11</v>
      </c>
      <c r="K2352" s="13" t="str">
        <f t="shared" si="534"/>
        <v>Twitter Web Client</v>
      </c>
      <c r="L2352" s="12">
        <v>6206</v>
      </c>
      <c r="M2352" s="12">
        <v>939</v>
      </c>
      <c r="N2352" s="12">
        <v>60</v>
      </c>
      <c r="O2352" s="14"/>
      <c r="P2352" s="6">
        <v>40422.656319444446</v>
      </c>
      <c r="Q2352" s="15" t="s">
        <v>7957</v>
      </c>
      <c r="R2352" s="17" t="s">
        <v>7958</v>
      </c>
      <c r="S2352" s="16" t="s">
        <v>7959</v>
      </c>
      <c r="T2352" s="11"/>
      <c r="U2352" s="10" t="str">
        <f>HYPERLINK("https://pbs.twimg.com/profile_images/644102982691389440/ljADwZP_.jpg","View")</f>
        <v>View</v>
      </c>
    </row>
    <row r="2353" spans="1:21" ht="30.6">
      <c r="A2353" s="6">
        <v>43438.744537037041</v>
      </c>
      <c r="B2353" s="7" t="str">
        <f>HYPERLINK("https://twitter.com/Cris_goal","@Cris_goal")</f>
        <v>@Cris_goal</v>
      </c>
      <c r="C2353" s="8" t="s">
        <v>7960</v>
      </c>
      <c r="D2353" s="9" t="s">
        <v>7961</v>
      </c>
      <c r="E2353" s="10" t="str">
        <f>HYPERLINK("https://twitter.com/Cris_goal/status/1069997794998525958","1069997794998525958")</f>
        <v>1069997794998525958</v>
      </c>
      <c r="F2353" s="15" t="s">
        <v>7962</v>
      </c>
      <c r="G2353" s="11"/>
      <c r="H2353" s="11"/>
      <c r="I2353" s="12">
        <v>0</v>
      </c>
      <c r="J2353" s="12">
        <v>2</v>
      </c>
      <c r="K2353" s="13" t="str">
        <f>HYPERLINK("http://twitter.com/download/iphone","Twitter for iPhone")</f>
        <v>Twitter for iPhone</v>
      </c>
      <c r="L2353" s="12">
        <v>395</v>
      </c>
      <c r="M2353" s="12">
        <v>401</v>
      </c>
      <c r="N2353" s="12">
        <v>8</v>
      </c>
      <c r="O2353" s="14"/>
      <c r="P2353" s="6">
        <v>40402.835914351854</v>
      </c>
      <c r="Q2353" s="15" t="s">
        <v>7963</v>
      </c>
      <c r="R2353" s="17" t="s">
        <v>7964</v>
      </c>
      <c r="S2353" s="16" t="s">
        <v>7965</v>
      </c>
      <c r="T2353" s="11"/>
      <c r="U2353" s="10" t="str">
        <f>HYPERLINK("https://pbs.twimg.com/profile_images/855100466388193282/jJoj45te.jpg","View")</f>
        <v>View</v>
      </c>
    </row>
    <row r="2354" spans="1:21" ht="30.6">
      <c r="A2354" s="6">
        <v>43438.744155092594</v>
      </c>
      <c r="B2354" s="7" t="str">
        <f>HYPERLINK("https://twitter.com/UCurryU","@UCurryU")</f>
        <v>@UCurryU</v>
      </c>
      <c r="C2354" s="8" t="s">
        <v>7966</v>
      </c>
      <c r="D2354" s="9" t="s">
        <v>7967</v>
      </c>
      <c r="E2354" s="10" t="str">
        <f>HYPERLINK("https://twitter.com/UCurryU/status/1069997654535487492","1069997654535487492")</f>
        <v>1069997654535487492</v>
      </c>
      <c r="F2354" s="11"/>
      <c r="G2354" s="11"/>
      <c r="H2354" s="11"/>
      <c r="I2354" s="12">
        <v>0</v>
      </c>
      <c r="J2354" s="12">
        <v>2</v>
      </c>
      <c r="K2354" s="13" t="str">
        <f t="shared" ref="K2354:K2355" si="535">HYPERLINK("http://twitter.com","Twitter Web Client")</f>
        <v>Twitter Web Client</v>
      </c>
      <c r="L2354" s="12">
        <v>173</v>
      </c>
      <c r="M2354" s="12">
        <v>181</v>
      </c>
      <c r="N2354" s="12">
        <v>0</v>
      </c>
      <c r="O2354" s="14"/>
      <c r="P2354" s="6">
        <v>41939.553506944445</v>
      </c>
      <c r="Q2354" s="15" t="s">
        <v>7968</v>
      </c>
      <c r="R2354" s="17" t="s">
        <v>7969</v>
      </c>
      <c r="S2354" s="11"/>
      <c r="T2354" s="11"/>
      <c r="U2354" s="10" t="str">
        <f>HYPERLINK("https://pbs.twimg.com/profile_images/1036636179028951042/1aq_aDlo.jpg","View")</f>
        <v>View</v>
      </c>
    </row>
    <row r="2355" spans="1:21" ht="61.2">
      <c r="A2355" s="6">
        <v>43438.744004629625</v>
      </c>
      <c r="B2355" s="7" t="str">
        <f>HYPERLINK("https://twitter.com/Obi_Uan_Kenobi","@Obi_Uan_Kenobi")</f>
        <v>@Obi_Uan_Kenobi</v>
      </c>
      <c r="C2355" s="8" t="s">
        <v>7970</v>
      </c>
      <c r="D2355" s="9" t="s">
        <v>7971</v>
      </c>
      <c r="E2355" s="10" t="str">
        <f>HYPERLINK("https://twitter.com/Obi_Uan_Kenobi/status/1069997603675430913","1069997603675430913")</f>
        <v>1069997603675430913</v>
      </c>
      <c r="F2355" s="11"/>
      <c r="G2355" s="11"/>
      <c r="H2355" s="11"/>
      <c r="I2355" s="12">
        <v>17</v>
      </c>
      <c r="J2355" s="12">
        <v>21</v>
      </c>
      <c r="K2355" s="13" t="str">
        <f t="shared" si="535"/>
        <v>Twitter Web Client</v>
      </c>
      <c r="L2355" s="12">
        <v>6465</v>
      </c>
      <c r="M2355" s="12">
        <v>249</v>
      </c>
      <c r="N2355" s="12">
        <v>129</v>
      </c>
      <c r="O2355" s="14"/>
      <c r="P2355" s="6">
        <v>40635.778738425928</v>
      </c>
      <c r="Q2355" s="11"/>
      <c r="R2355" s="17" t="s">
        <v>7972</v>
      </c>
      <c r="S2355" s="11"/>
      <c r="T2355" s="11"/>
      <c r="U2355" s="10" t="str">
        <f>HYPERLINK("https://pbs.twimg.com/profile_images/1708357639/obiwankenobi1.jpg","View")</f>
        <v>View</v>
      </c>
    </row>
    <row r="2356" spans="1:21" ht="61.2">
      <c r="A2356" s="6">
        <v>43438.744004629625</v>
      </c>
      <c r="B2356" s="7" t="str">
        <f>HYPERLINK("https://twitter.com/jsmabarrera","@jsmabarrera")</f>
        <v>@jsmabarrera</v>
      </c>
      <c r="C2356" s="8" t="s">
        <v>7973</v>
      </c>
      <c r="D2356" s="9" t="s">
        <v>7974</v>
      </c>
      <c r="E2356" s="10" t="str">
        <f>HYPERLINK("https://twitter.com/jsmabarrera/status/1069997603272704001","1069997603272704001")</f>
        <v>1069997603272704001</v>
      </c>
      <c r="F2356" s="11"/>
      <c r="G2356" s="11"/>
      <c r="H2356" s="11"/>
      <c r="I2356" s="12">
        <v>1</v>
      </c>
      <c r="J2356" s="12">
        <v>3</v>
      </c>
      <c r="K2356" s="13" t="str">
        <f>HYPERLINK("https://mobile.twitter.com","Twitter Lite")</f>
        <v>Twitter Lite</v>
      </c>
      <c r="L2356" s="12">
        <v>151</v>
      </c>
      <c r="M2356" s="12">
        <v>150</v>
      </c>
      <c r="N2356" s="12">
        <v>7</v>
      </c>
      <c r="O2356" s="14"/>
      <c r="P2356" s="6">
        <v>41129.762442129628</v>
      </c>
      <c r="Q2356" s="11"/>
      <c r="R2356" s="17" t="s">
        <v>7975</v>
      </c>
      <c r="S2356" s="11"/>
      <c r="T2356" s="11"/>
      <c r="U2356" s="10" t="str">
        <f>HYPERLINK("https://pbs.twimg.com/profile_images/1055819879566188544/kdsdBdkb.jpg","View")</f>
        <v>View</v>
      </c>
    </row>
    <row r="2357" spans="1:21" ht="40.799999999999997">
      <c r="A2357" s="6">
        <v>43438.743483796294</v>
      </c>
      <c r="B2357" s="7" t="str">
        <f>HYPERLINK("https://twitter.com/QuieroVotarYa","@QuieroVotarYa")</f>
        <v>@QuieroVotarYa</v>
      </c>
      <c r="C2357" s="27" t="s">
        <v>2245</v>
      </c>
      <c r="D2357" s="9" t="s">
        <v>7976</v>
      </c>
      <c r="E2357" s="10" t="str">
        <f>HYPERLINK("https://twitter.com/QuieroVotarYa/status/1069997414927515649","1069997414927515649")</f>
        <v>1069997414927515649</v>
      </c>
      <c r="F2357" s="16" t="s">
        <v>7977</v>
      </c>
      <c r="G2357" s="11"/>
      <c r="H2357" s="11"/>
      <c r="I2357" s="12">
        <v>1</v>
      </c>
      <c r="J2357" s="12">
        <v>1</v>
      </c>
      <c r="K2357" s="13" t="str">
        <f t="shared" ref="K2357:K2359" si="536">HYPERLINK("http://twitter.com","Twitter Web Client")</f>
        <v>Twitter Web Client</v>
      </c>
      <c r="L2357" s="12">
        <v>6245</v>
      </c>
      <c r="M2357" s="12">
        <v>5436</v>
      </c>
      <c r="N2357" s="12">
        <v>44</v>
      </c>
      <c r="O2357" s="14"/>
      <c r="P2357" s="6">
        <v>41000.472858796296</v>
      </c>
      <c r="Q2357" s="15" t="s">
        <v>2248</v>
      </c>
      <c r="R2357" s="17" t="s">
        <v>2249</v>
      </c>
      <c r="S2357" s="11"/>
      <c r="T2357" s="11"/>
      <c r="U2357" s="10" t="str">
        <f>HYPERLINK("https://pbs.twimg.com/profile_images/1067819628620058624/j8NLcPs3.jpg","View")</f>
        <v>View</v>
      </c>
    </row>
    <row r="2358" spans="1:21" ht="51">
      <c r="A2358" s="6">
        <v>43438.737673611111</v>
      </c>
      <c r="B2358" s="7" t="str">
        <f>HYPERLINK("https://twitter.com/golorico","@golorico")</f>
        <v>@golorico</v>
      </c>
      <c r="C2358" s="8" t="s">
        <v>3395</v>
      </c>
      <c r="D2358" s="9" t="s">
        <v>7978</v>
      </c>
      <c r="E2358" s="10" t="str">
        <f>HYPERLINK("https://twitter.com/golorico/status/1069995306555793414","1069995306555793414")</f>
        <v>1069995306555793414</v>
      </c>
      <c r="F2358" s="16" t="s">
        <v>2141</v>
      </c>
      <c r="G2358" s="11"/>
      <c r="H2358" s="11"/>
      <c r="I2358" s="12">
        <v>28</v>
      </c>
      <c r="J2358" s="12">
        <v>36</v>
      </c>
      <c r="K2358" s="13" t="str">
        <f t="shared" si="536"/>
        <v>Twitter Web Client</v>
      </c>
      <c r="L2358" s="12">
        <v>2919</v>
      </c>
      <c r="M2358" s="12">
        <v>3865</v>
      </c>
      <c r="N2358" s="12">
        <v>60</v>
      </c>
      <c r="O2358" s="14"/>
      <c r="P2358" s="6">
        <v>40866.586539351854</v>
      </c>
      <c r="Q2358" s="11"/>
      <c r="R2358" s="17" t="s">
        <v>3398</v>
      </c>
      <c r="S2358" s="11"/>
      <c r="T2358" s="11"/>
      <c r="U2358" s="10" t="str">
        <f>HYPERLINK("https://pbs.twimg.com/profile_images/883382841232457728/MvxBb_dd.jpg","View")</f>
        <v>View</v>
      </c>
    </row>
    <row r="2359" spans="1:21" ht="20.399999999999999">
      <c r="A2359" s="6">
        <v>43438.737233796295</v>
      </c>
      <c r="B2359" s="7" t="str">
        <f>HYPERLINK("https://twitter.com/Demi_300kmh","@Demi_300kmh")</f>
        <v>@Demi_300kmh</v>
      </c>
      <c r="C2359" s="8" t="s">
        <v>7979</v>
      </c>
      <c r="D2359" s="9" t="s">
        <v>7980</v>
      </c>
      <c r="E2359" s="10" t="str">
        <f>HYPERLINK("https://twitter.com/Demi_300kmh/status/1069995149894316032","1069995149894316032")</f>
        <v>1069995149894316032</v>
      </c>
      <c r="F2359" s="16" t="s">
        <v>7981</v>
      </c>
      <c r="G2359" s="11"/>
      <c r="H2359" s="11"/>
      <c r="I2359" s="12">
        <v>0</v>
      </c>
      <c r="J2359" s="12">
        <v>0</v>
      </c>
      <c r="K2359" s="13" t="str">
        <f t="shared" si="536"/>
        <v>Twitter Web Client</v>
      </c>
      <c r="L2359" s="12">
        <v>167</v>
      </c>
      <c r="M2359" s="12">
        <v>224</v>
      </c>
      <c r="N2359" s="12">
        <v>4</v>
      </c>
      <c r="O2359" s="14"/>
      <c r="P2359" s="6">
        <v>40891.524189814816</v>
      </c>
      <c r="Q2359" s="15" t="s">
        <v>7982</v>
      </c>
      <c r="R2359" s="17" t="s">
        <v>7983</v>
      </c>
      <c r="S2359" s="11"/>
      <c r="T2359" s="11"/>
      <c r="U2359" s="10" t="str">
        <f>HYPERLINK("https://pbs.twimg.com/profile_images/971447193667334147/oSmekYd6.jpg","View")</f>
        <v>View</v>
      </c>
    </row>
    <row r="2360" spans="1:21" ht="40.799999999999997">
      <c r="A2360" s="6">
        <v>43438.73574074074</v>
      </c>
      <c r="B2360" s="7" t="str">
        <f>HYPERLINK("https://twitter.com/JosGOSALBEZ1","@JosGOSALBEZ1")</f>
        <v>@JosGOSALBEZ1</v>
      </c>
      <c r="C2360" s="8" t="s">
        <v>6070</v>
      </c>
      <c r="D2360" s="9" t="s">
        <v>7984</v>
      </c>
      <c r="E2360" s="10" t="str">
        <f>HYPERLINK("https://twitter.com/JosGOSALBEZ1/status/1069994605842784257","1069994605842784257")</f>
        <v>1069994605842784257</v>
      </c>
      <c r="F2360" s="16" t="s">
        <v>7985</v>
      </c>
      <c r="G2360" s="11"/>
      <c r="H2360" s="11"/>
      <c r="I2360" s="12">
        <v>3</v>
      </c>
      <c r="J2360" s="12">
        <v>6</v>
      </c>
      <c r="K2360" s="13" t="str">
        <f t="shared" ref="K2360:K2361" si="537">HYPERLINK("http://twitter.com/download/android","Twitter for Android")</f>
        <v>Twitter for Android</v>
      </c>
      <c r="L2360" s="12">
        <v>77</v>
      </c>
      <c r="M2360" s="12">
        <v>43</v>
      </c>
      <c r="N2360" s="12">
        <v>0</v>
      </c>
      <c r="O2360" s="14"/>
      <c r="P2360" s="6">
        <v>43380.871759259258</v>
      </c>
      <c r="Q2360" s="11"/>
      <c r="R2360" s="17" t="s">
        <v>6073</v>
      </c>
      <c r="S2360" s="11"/>
      <c r="T2360" s="11"/>
      <c r="U2360" s="10" t="str">
        <f>HYPERLINK("https://pbs.twimg.com/profile_images/1049320152691556355/-BVmVU_Q.jpg","View")</f>
        <v>View</v>
      </c>
    </row>
    <row r="2361" spans="1:21" ht="20.399999999999999">
      <c r="A2361" s="6">
        <v>43438.734317129631</v>
      </c>
      <c r="B2361" s="7" t="str">
        <f>HYPERLINK("https://twitter.com/Nova_Galiza","@Nova_Galiza")</f>
        <v>@Nova_Galiza</v>
      </c>
      <c r="C2361" s="8" t="s">
        <v>7986</v>
      </c>
      <c r="D2361" s="9" t="s">
        <v>7987</v>
      </c>
      <c r="E2361" s="10" t="str">
        <f>HYPERLINK("https://twitter.com/Nova_Galiza/status/1069994091923103744","1069994091923103744")</f>
        <v>1069994091923103744</v>
      </c>
      <c r="F2361" s="11"/>
      <c r="G2361" s="16" t="s">
        <v>7988</v>
      </c>
      <c r="H2361" s="11"/>
      <c r="I2361" s="12">
        <v>2</v>
      </c>
      <c r="J2361" s="12">
        <v>0</v>
      </c>
      <c r="K2361" s="13" t="str">
        <f t="shared" si="537"/>
        <v>Twitter for Android</v>
      </c>
      <c r="L2361" s="12">
        <v>486</v>
      </c>
      <c r="M2361" s="12">
        <v>717</v>
      </c>
      <c r="N2361" s="12">
        <v>3</v>
      </c>
      <c r="O2361" s="14"/>
      <c r="P2361" s="6">
        <v>41656.560960648145</v>
      </c>
      <c r="Q2361" s="15" t="s">
        <v>5714</v>
      </c>
      <c r="R2361" s="17" t="s">
        <v>7989</v>
      </c>
      <c r="S2361" s="11"/>
      <c r="T2361" s="11"/>
      <c r="U2361" s="10" t="str">
        <f>HYPERLINK("https://pbs.twimg.com/profile_images/1065690915014995968/3gZSu4dC.jpg","View")</f>
        <v>View</v>
      </c>
    </row>
    <row r="2362" spans="1:21" ht="102">
      <c r="A2362" s="6">
        <v>43438.733460648145</v>
      </c>
      <c r="B2362" s="7" t="str">
        <f>HYPERLINK("https://twitter.com/carmelodifazio","@carmelodifazio")</f>
        <v>@carmelodifazio</v>
      </c>
      <c r="C2362" s="8" t="s">
        <v>1172</v>
      </c>
      <c r="D2362" s="9" t="s">
        <v>7990</v>
      </c>
      <c r="E2362" s="10" t="str">
        <f>HYPERLINK("https://twitter.com/carmelodifazio/status/1069993779703230464","1069993779703230464")</f>
        <v>1069993779703230464</v>
      </c>
      <c r="F2362" s="15" t="s">
        <v>7991</v>
      </c>
      <c r="G2362" s="16" t="s">
        <v>7992</v>
      </c>
      <c r="H2362" s="11"/>
      <c r="I2362" s="12">
        <v>1</v>
      </c>
      <c r="J2362" s="12">
        <v>1</v>
      </c>
      <c r="K2362" s="13" t="str">
        <f>HYPERLINK("http://twitter.com","Twitter Web Client")</f>
        <v>Twitter Web Client</v>
      </c>
      <c r="L2362" s="12">
        <v>67620</v>
      </c>
      <c r="M2362" s="12">
        <v>29898</v>
      </c>
      <c r="N2362" s="12">
        <v>249</v>
      </c>
      <c r="O2362" s="14"/>
      <c r="P2362" s="6">
        <v>40525.98883101852</v>
      </c>
      <c r="Q2362" s="15" t="s">
        <v>1175</v>
      </c>
      <c r="R2362" s="17" t="s">
        <v>1176</v>
      </c>
      <c r="S2362" s="16" t="s">
        <v>1177</v>
      </c>
      <c r="T2362" s="11"/>
      <c r="U2362" s="10" t="str">
        <f>HYPERLINK("https://pbs.twimg.com/profile_images/1069385468406652930/Fe_Drk4k.jpg","View")</f>
        <v>View</v>
      </c>
    </row>
    <row r="2363" spans="1:21" ht="20.399999999999999">
      <c r="A2363" s="6">
        <v>43438.732974537037</v>
      </c>
      <c r="B2363" s="7" t="str">
        <f>HYPERLINK("https://twitter.com/Unodel61","@Unodel61")</f>
        <v>@Unodel61</v>
      </c>
      <c r="C2363" s="8" t="s">
        <v>7993</v>
      </c>
      <c r="D2363" s="9" t="s">
        <v>7994</v>
      </c>
      <c r="E2363" s="10" t="str">
        <f>HYPERLINK("https://twitter.com/Unodel61/status/1069993602670055424","1069993602670055424")</f>
        <v>1069993602670055424</v>
      </c>
      <c r="F2363" s="11"/>
      <c r="G2363" s="16" t="s">
        <v>7995</v>
      </c>
      <c r="H2363" s="11"/>
      <c r="I2363" s="12">
        <v>0</v>
      </c>
      <c r="J2363" s="12">
        <v>0</v>
      </c>
      <c r="K2363" s="13" t="str">
        <f>HYPERLINK("http://twitter.com/download/android","Twitter for Android")</f>
        <v>Twitter for Android</v>
      </c>
      <c r="L2363" s="12">
        <v>173</v>
      </c>
      <c r="M2363" s="12">
        <v>364</v>
      </c>
      <c r="N2363" s="12">
        <v>2</v>
      </c>
      <c r="O2363" s="14"/>
      <c r="P2363" s="6">
        <v>40655.094270833331</v>
      </c>
      <c r="Q2363" s="15" t="s">
        <v>56</v>
      </c>
      <c r="R2363" s="17" t="s">
        <v>7996</v>
      </c>
      <c r="S2363" s="11"/>
      <c r="T2363" s="11"/>
      <c r="U2363" s="10" t="str">
        <f>HYPERLINK("https://pbs.twimg.com/profile_images/1035789051658424320/ELEz-x66.jpg","View")</f>
        <v>View</v>
      </c>
    </row>
    <row r="2364" spans="1:21" ht="51">
      <c r="A2364" s="6">
        <v>43438.732673611114</v>
      </c>
      <c r="B2364" s="7" t="str">
        <f>HYPERLINK("https://twitter.com/alias877","@alias877")</f>
        <v>@alias877</v>
      </c>
      <c r="C2364" s="8" t="s">
        <v>7997</v>
      </c>
      <c r="D2364" s="9" t="s">
        <v>7998</v>
      </c>
      <c r="E2364" s="10" t="str">
        <f>HYPERLINK("https://twitter.com/alias877/status/1069993495300059136","1069993495300059136")</f>
        <v>1069993495300059136</v>
      </c>
      <c r="F2364" s="11"/>
      <c r="G2364" s="11"/>
      <c r="H2364" s="11"/>
      <c r="I2364" s="12">
        <v>21</v>
      </c>
      <c r="J2364" s="12">
        <v>28</v>
      </c>
      <c r="K2364" s="13" t="str">
        <f>HYPERLINK("http://twitter.com","Twitter Web Client")</f>
        <v>Twitter Web Client</v>
      </c>
      <c r="L2364" s="12">
        <v>2359</v>
      </c>
      <c r="M2364" s="12">
        <v>3000</v>
      </c>
      <c r="N2364" s="12">
        <v>1</v>
      </c>
      <c r="O2364" s="14"/>
      <c r="P2364" s="6">
        <v>42930.740995370375</v>
      </c>
      <c r="Q2364" s="11"/>
      <c r="R2364" s="17" t="s">
        <v>7999</v>
      </c>
      <c r="S2364" s="11"/>
      <c r="T2364" s="11"/>
      <c r="U2364" s="10" t="str">
        <f>HYPERLINK("https://pbs.twimg.com/profile_images/885893571517308934/I5ddACgR.jpg","View")</f>
        <v>View</v>
      </c>
    </row>
    <row r="2365" spans="1:21" ht="40.799999999999997">
      <c r="A2365" s="6">
        <v>43438.732476851852</v>
      </c>
      <c r="B2365" s="7" t="str">
        <f>HYPERLINK("https://twitter.com/pablog0109","@pablog0109")</f>
        <v>@pablog0109</v>
      </c>
      <c r="C2365" s="8" t="s">
        <v>8000</v>
      </c>
      <c r="D2365" s="9" t="s">
        <v>8001</v>
      </c>
      <c r="E2365" s="10" t="str">
        <f>HYPERLINK("https://twitter.com/pablog0109/status/1069993425100005377","1069993425100005377")</f>
        <v>1069993425100005377</v>
      </c>
      <c r="F2365" s="11"/>
      <c r="G2365" s="11"/>
      <c r="H2365" s="11"/>
      <c r="I2365" s="12">
        <v>0</v>
      </c>
      <c r="J2365" s="12">
        <v>0</v>
      </c>
      <c r="K2365" s="13" t="str">
        <f>HYPERLINK("http://twitter.com/download/iphone","Twitter for iPhone")</f>
        <v>Twitter for iPhone</v>
      </c>
      <c r="L2365" s="12">
        <v>98</v>
      </c>
      <c r="M2365" s="12">
        <v>106</v>
      </c>
      <c r="N2365" s="12">
        <v>8</v>
      </c>
      <c r="O2365" s="14"/>
      <c r="P2365" s="6">
        <v>41278.506145833337</v>
      </c>
      <c r="Q2365" s="11"/>
      <c r="R2365" s="18"/>
      <c r="S2365" s="11"/>
      <c r="T2365" s="11"/>
      <c r="U2365" s="10" t="str">
        <f>HYPERLINK("https://pbs.twimg.com/profile_images/811315450751700993/J5A28ue5.jpg","View")</f>
        <v>View</v>
      </c>
    </row>
    <row r="2366" spans="1:21" ht="40.799999999999997">
      <c r="A2366" s="6">
        <v>43438.731412037036</v>
      </c>
      <c r="B2366" s="7" t="str">
        <f>HYPERLINK("https://twitter.com/josecalose","@josecalose")</f>
        <v>@josecalose</v>
      </c>
      <c r="C2366" s="8" t="s">
        <v>8002</v>
      </c>
      <c r="D2366" s="9" t="s">
        <v>8003</v>
      </c>
      <c r="E2366" s="10" t="str">
        <f>HYPERLINK("https://twitter.com/josecalose/status/1069993036447399937","1069993036447399937")</f>
        <v>1069993036447399937</v>
      </c>
      <c r="F2366" s="15" t="s">
        <v>4468</v>
      </c>
      <c r="G2366" s="11"/>
      <c r="H2366" s="11"/>
      <c r="I2366" s="12">
        <v>0</v>
      </c>
      <c r="J2366" s="12">
        <v>0</v>
      </c>
      <c r="K2366" s="13" t="str">
        <f t="shared" ref="K2366:K2367" si="538">HYPERLINK("http://twitter.com","Twitter Web Client")</f>
        <v>Twitter Web Client</v>
      </c>
      <c r="L2366" s="12">
        <v>300</v>
      </c>
      <c r="M2366" s="12">
        <v>218</v>
      </c>
      <c r="N2366" s="12">
        <v>3</v>
      </c>
      <c r="O2366" s="14"/>
      <c r="P2366" s="6">
        <v>40763.948993055557</v>
      </c>
      <c r="Q2366" s="15" t="s">
        <v>8004</v>
      </c>
      <c r="R2366" s="17" t="s">
        <v>8005</v>
      </c>
      <c r="S2366" s="11"/>
      <c r="T2366" s="11"/>
      <c r="U2366" s="10" t="str">
        <f>HYPERLINK("https://pbs.twimg.com/profile_images/1021730530453319680/pTzkWDkR.jpg","View")</f>
        <v>View</v>
      </c>
    </row>
    <row r="2367" spans="1:21" ht="13.2">
      <c r="A2367" s="6">
        <v>43438.730590277773</v>
      </c>
      <c r="B2367" s="7" t="str">
        <f>HYPERLINK("https://twitter.com/PeterTheTool","@PeterTheTool")</f>
        <v>@PeterTheTool</v>
      </c>
      <c r="C2367" s="8" t="s">
        <v>8006</v>
      </c>
      <c r="D2367" s="9" t="s">
        <v>8007</v>
      </c>
      <c r="E2367" s="10" t="str">
        <f>HYPERLINK("https://twitter.com/PeterTheTool/status/1069992740371476480","1069992740371476480")</f>
        <v>1069992740371476480</v>
      </c>
      <c r="F2367" s="11"/>
      <c r="G2367" s="16" t="s">
        <v>8008</v>
      </c>
      <c r="H2367" s="11"/>
      <c r="I2367" s="12">
        <v>0</v>
      </c>
      <c r="J2367" s="12">
        <v>0</v>
      </c>
      <c r="K2367" s="13" t="str">
        <f t="shared" si="538"/>
        <v>Twitter Web Client</v>
      </c>
      <c r="L2367" s="12">
        <v>502</v>
      </c>
      <c r="M2367" s="12">
        <v>428</v>
      </c>
      <c r="N2367" s="12">
        <v>32</v>
      </c>
      <c r="O2367" s="14"/>
      <c r="P2367" s="6">
        <v>40271.571354166663</v>
      </c>
      <c r="Q2367" s="11"/>
      <c r="R2367" s="18"/>
      <c r="S2367" s="16" t="s">
        <v>8009</v>
      </c>
      <c r="T2367" s="11"/>
      <c r="U2367" s="10" t="str">
        <f>HYPERLINK("https://pbs.twimg.com/profile_images/822568821/20.jpg","View")</f>
        <v>View</v>
      </c>
    </row>
    <row r="2368" spans="1:21" ht="30.6">
      <c r="A2368" s="6">
        <v>43438.729444444441</v>
      </c>
      <c r="B2368" s="7" t="str">
        <f>HYPERLINK("https://twitter.com/yo_tube","@yo_tube")</f>
        <v>@yo_tube</v>
      </c>
      <c r="C2368" s="8" t="s">
        <v>7543</v>
      </c>
      <c r="D2368" s="9" t="s">
        <v>8010</v>
      </c>
      <c r="E2368" s="10" t="str">
        <f>HYPERLINK("https://twitter.com/yo_tube/status/1069992325428981761","1069992325428981761")</f>
        <v>1069992325428981761</v>
      </c>
      <c r="F2368" s="16" t="s">
        <v>1568</v>
      </c>
      <c r="G2368" s="11"/>
      <c r="H2368" s="11"/>
      <c r="I2368" s="12">
        <v>1</v>
      </c>
      <c r="J2368" s="12">
        <v>0</v>
      </c>
      <c r="K2368" s="13" t="str">
        <f>HYPERLINK("http://twitter.com/download/android","Twitter for Android")</f>
        <v>Twitter for Android</v>
      </c>
      <c r="L2368" s="12">
        <v>612</v>
      </c>
      <c r="M2368" s="12">
        <v>570</v>
      </c>
      <c r="N2368" s="12">
        <v>1</v>
      </c>
      <c r="O2368" s="14"/>
      <c r="P2368" s="6">
        <v>43110.681585648148</v>
      </c>
      <c r="Q2368" s="11"/>
      <c r="R2368" s="17" t="s">
        <v>7546</v>
      </c>
      <c r="S2368" s="11"/>
      <c r="T2368" s="11"/>
      <c r="U2368" s="10" t="str">
        <f>HYPERLINK("https://pbs.twimg.com/profile_images/1030116398104813573/LljNSwKE.jpg","View")</f>
        <v>View</v>
      </c>
    </row>
    <row r="2369" spans="1:21" ht="112.2">
      <c r="A2369" s="6">
        <v>43438.726597222223</v>
      </c>
      <c r="B2369" s="7" t="str">
        <f>HYPERLINK("https://twitter.com/Tancred31585095","@Tancred31585095")</f>
        <v>@Tancred31585095</v>
      </c>
      <c r="C2369" s="8" t="s">
        <v>8011</v>
      </c>
      <c r="D2369" s="9" t="s">
        <v>8012</v>
      </c>
      <c r="E2369" s="10" t="str">
        <f>HYPERLINK("https://twitter.com/Tancred31585095/status/1069991292212531200","1069991292212531200")</f>
        <v>1069991292212531200</v>
      </c>
      <c r="F2369" s="16" t="s">
        <v>8013</v>
      </c>
      <c r="G2369" s="11"/>
      <c r="H2369" s="11"/>
      <c r="I2369" s="12">
        <v>2</v>
      </c>
      <c r="J2369" s="12">
        <v>6</v>
      </c>
      <c r="K2369" s="13" t="str">
        <f>HYPERLINK("http://twitter.com","Twitter Web Client")</f>
        <v>Twitter Web Client</v>
      </c>
      <c r="L2369" s="12">
        <v>68</v>
      </c>
      <c r="M2369" s="12">
        <v>333</v>
      </c>
      <c r="N2369" s="12">
        <v>1</v>
      </c>
      <c r="O2369" s="14"/>
      <c r="P2369" s="6">
        <v>43405.923032407409</v>
      </c>
      <c r="Q2369" s="11"/>
      <c r="R2369" s="17" t="s">
        <v>8014</v>
      </c>
      <c r="S2369" s="11"/>
      <c r="T2369" s="11"/>
      <c r="U2369" s="10" t="str">
        <f>HYPERLINK("https://pbs.twimg.com/profile_images/1058295254229663744/FIF3yDym.jpg","View")</f>
        <v>View</v>
      </c>
    </row>
    <row r="2370" spans="1:21" ht="81.599999999999994">
      <c r="A2370" s="6">
        <v>43438.726111111115</v>
      </c>
      <c r="B2370" s="7" t="str">
        <f>HYPERLINK("https://twitter.com/OEquidad","@OEquidad")</f>
        <v>@OEquidad</v>
      </c>
      <c r="C2370" s="8" t="s">
        <v>3496</v>
      </c>
      <c r="D2370" s="9" t="s">
        <v>8015</v>
      </c>
      <c r="E2370" s="10" t="str">
        <f>HYPERLINK("https://twitter.com/OEquidad/status/1069991115519115264","1069991115519115264")</f>
        <v>1069991115519115264</v>
      </c>
      <c r="F2370" s="16" t="s">
        <v>8016</v>
      </c>
      <c r="G2370" s="11"/>
      <c r="H2370" s="11"/>
      <c r="I2370" s="12">
        <v>0</v>
      </c>
      <c r="J2370" s="12">
        <v>1</v>
      </c>
      <c r="K2370" s="13" t="str">
        <f>HYPERLINK("http://twitter.com/download/iphone","Twitter for iPhone")</f>
        <v>Twitter for iPhone</v>
      </c>
      <c r="L2370" s="12">
        <v>148</v>
      </c>
      <c r="M2370" s="12">
        <v>701</v>
      </c>
      <c r="N2370" s="12">
        <v>0</v>
      </c>
      <c r="O2370" s="14"/>
      <c r="P2370" s="6">
        <v>43329.579606481479</v>
      </c>
      <c r="Q2370" s="15" t="s">
        <v>185</v>
      </c>
      <c r="R2370" s="17" t="s">
        <v>3499</v>
      </c>
      <c r="S2370" s="11"/>
      <c r="T2370" s="11"/>
      <c r="U2370" s="10" t="str">
        <f>HYPERLINK("https://pbs.twimg.com/profile_images/1030476800353337345/uFi5OkNW.jpg","View")</f>
        <v>View</v>
      </c>
    </row>
    <row r="2371" spans="1:21" ht="51">
      <c r="A2371" s="6">
        <v>43438.725740740745</v>
      </c>
      <c r="B2371" s="7" t="str">
        <f>HYPERLINK("https://twitter.com/MariaTabarnia","@MariaTabarnia")</f>
        <v>@MariaTabarnia</v>
      </c>
      <c r="C2371" s="8" t="s">
        <v>139</v>
      </c>
      <c r="D2371" s="9" t="s">
        <v>8017</v>
      </c>
      <c r="E2371" s="10" t="str">
        <f>HYPERLINK("https://twitter.com/MariaTabarnia/status/1069990984325447680","1069990984325447680")</f>
        <v>1069990984325447680</v>
      </c>
      <c r="F2371" s="16" t="s">
        <v>7985</v>
      </c>
      <c r="G2371" s="11"/>
      <c r="H2371" s="11"/>
      <c r="I2371" s="12">
        <v>84</v>
      </c>
      <c r="J2371" s="12">
        <v>142</v>
      </c>
      <c r="K2371" s="13" t="str">
        <f>HYPERLINK("http://twitter.com/#!/download/ipad","Twitter for iPad")</f>
        <v>Twitter for iPad</v>
      </c>
      <c r="L2371" s="12">
        <v>12679</v>
      </c>
      <c r="M2371" s="12">
        <v>13834</v>
      </c>
      <c r="N2371" s="12">
        <v>55</v>
      </c>
      <c r="O2371" s="14"/>
      <c r="P2371" s="6">
        <v>41424.855567129627</v>
      </c>
      <c r="Q2371" s="15" t="s">
        <v>142</v>
      </c>
      <c r="R2371" s="17" t="s">
        <v>143</v>
      </c>
      <c r="S2371" s="11"/>
      <c r="T2371" s="11"/>
      <c r="U2371" s="10" t="str">
        <f>HYPERLINK("https://pbs.twimg.com/profile_images/906661884199391232/L9xcUYsf.jpg","View")</f>
        <v>View</v>
      </c>
    </row>
    <row r="2372" spans="1:21" ht="71.400000000000006">
      <c r="A2372" s="6">
        <v>43438.723321759258</v>
      </c>
      <c r="B2372" s="7" t="str">
        <f>HYPERLINK("https://twitter.com/Davidalal1","@Davidalal1")</f>
        <v>@Davidalal1</v>
      </c>
      <c r="C2372" s="8" t="s">
        <v>8018</v>
      </c>
      <c r="D2372" s="9" t="s">
        <v>8019</v>
      </c>
      <c r="E2372" s="10" t="str">
        <f>HYPERLINK("https://twitter.com/Davidalal1/status/1069990104779894784","1069990104779894784")</f>
        <v>1069990104779894784</v>
      </c>
      <c r="F2372" s="16" t="s">
        <v>5345</v>
      </c>
      <c r="G2372" s="16" t="s">
        <v>5346</v>
      </c>
      <c r="H2372" s="11"/>
      <c r="I2372" s="12">
        <v>1</v>
      </c>
      <c r="J2372" s="12">
        <v>1</v>
      </c>
      <c r="K2372" s="13" t="str">
        <f>HYPERLINK("http://twitter.com/download/iphone","Twitter for iPhone")</f>
        <v>Twitter for iPhone</v>
      </c>
      <c r="L2372" s="12">
        <v>165</v>
      </c>
      <c r="M2372" s="12">
        <v>447</v>
      </c>
      <c r="N2372" s="12">
        <v>0</v>
      </c>
      <c r="O2372" s="14"/>
      <c r="P2372" s="6">
        <v>43083.650601851856</v>
      </c>
      <c r="Q2372" s="15" t="s">
        <v>8020</v>
      </c>
      <c r="R2372" s="17" t="s">
        <v>8021</v>
      </c>
      <c r="S2372" s="11"/>
      <c r="T2372" s="11"/>
      <c r="U2372" s="10" t="str">
        <f>HYPERLINK("https://pbs.twimg.com/profile_images/941324732305215488/MM4AuX8z.jpg","View")</f>
        <v>View</v>
      </c>
    </row>
    <row r="2373" spans="1:21" ht="51">
      <c r="A2373" s="6">
        <v>43438.721990740742</v>
      </c>
      <c r="B2373" s="7" t="str">
        <f>HYPERLINK("https://twitter.com/MateoHT15","@MateoHT15")</f>
        <v>@MateoHT15</v>
      </c>
      <c r="C2373" s="8" t="s">
        <v>8022</v>
      </c>
      <c r="D2373" s="9" t="s">
        <v>8023</v>
      </c>
      <c r="E2373" s="10" t="str">
        <f>HYPERLINK("https://twitter.com/MateoHT15/status/1069989625970769920","1069989625970769920")</f>
        <v>1069989625970769920</v>
      </c>
      <c r="F2373" s="11"/>
      <c r="G2373" s="11"/>
      <c r="H2373" s="11"/>
      <c r="I2373" s="12">
        <v>1</v>
      </c>
      <c r="J2373" s="12">
        <v>1</v>
      </c>
      <c r="K2373" s="13" t="str">
        <f>HYPERLINK("http://twitter.com/download/android","Twitter for Android")</f>
        <v>Twitter for Android</v>
      </c>
      <c r="L2373" s="12">
        <v>737</v>
      </c>
      <c r="M2373" s="12">
        <v>982</v>
      </c>
      <c r="N2373" s="12">
        <v>6</v>
      </c>
      <c r="O2373" s="14"/>
      <c r="P2373" s="6">
        <v>41099.683645833335</v>
      </c>
      <c r="Q2373" s="15" t="s">
        <v>8024</v>
      </c>
      <c r="R2373" s="17" t="s">
        <v>8025</v>
      </c>
      <c r="S2373" s="16" t="s">
        <v>8026</v>
      </c>
      <c r="T2373" s="11"/>
      <c r="U2373" s="10" t="str">
        <f>HYPERLINK("https://pbs.twimg.com/profile_images/704000932539981824/kEK7efP4.jpg","View")</f>
        <v>View</v>
      </c>
    </row>
    <row r="2374" spans="1:21" ht="40.799999999999997">
      <c r="A2374" s="6">
        <v>43438.720682870371</v>
      </c>
      <c r="B2374" s="7" t="str">
        <f>HYPERLINK("https://twitter.com/BocataJamonEHM","@BocataJamonEHM")</f>
        <v>@BocataJamonEHM</v>
      </c>
      <c r="C2374" s="8" t="s">
        <v>8027</v>
      </c>
      <c r="D2374" s="9" t="s">
        <v>8028</v>
      </c>
      <c r="E2374" s="10" t="str">
        <f>HYPERLINK("https://twitter.com/BocataJamonEHM/status/1069989152232562688","1069989152232562688")</f>
        <v>1069989152232562688</v>
      </c>
      <c r="F2374" s="11"/>
      <c r="G2374" s="11"/>
      <c r="H2374" s="11"/>
      <c r="I2374" s="12">
        <v>0</v>
      </c>
      <c r="J2374" s="12">
        <v>0</v>
      </c>
      <c r="K2374" s="13" t="str">
        <f>HYPERLINK("http://twitter.com","Twitter Web Client")</f>
        <v>Twitter Web Client</v>
      </c>
      <c r="L2374" s="12">
        <v>900</v>
      </c>
      <c r="M2374" s="12">
        <v>119</v>
      </c>
      <c r="N2374" s="12">
        <v>5</v>
      </c>
      <c r="O2374" s="14"/>
      <c r="P2374" s="6">
        <v>43277.393275462964</v>
      </c>
      <c r="Q2374" s="15" t="s">
        <v>197</v>
      </c>
      <c r="R2374" s="17" t="s">
        <v>8029</v>
      </c>
      <c r="S2374" s="11"/>
      <c r="T2374" s="11"/>
      <c r="U2374" s="10" t="str">
        <f>HYPERLINK("https://pbs.twimg.com/profile_images/1011512550989721601/nK-Sajra.jpg","View")</f>
        <v>View</v>
      </c>
    </row>
    <row r="2375" spans="1:21" ht="20.399999999999999">
      <c r="A2375" s="6">
        <v>43438.720023148147</v>
      </c>
      <c r="B2375" s="7" t="str">
        <f>HYPERLINK("https://twitter.com/La_CarrieWhite","@La_CarrieWhite")</f>
        <v>@La_CarrieWhite</v>
      </c>
      <c r="C2375" s="8" t="s">
        <v>8030</v>
      </c>
      <c r="D2375" s="9" t="s">
        <v>8031</v>
      </c>
      <c r="E2375" s="10" t="str">
        <f>HYPERLINK("https://twitter.com/La_CarrieWhite/status/1069988909365542913","1069988909365542913")</f>
        <v>1069988909365542913</v>
      </c>
      <c r="F2375" s="16" t="s">
        <v>4640</v>
      </c>
      <c r="G2375" s="11"/>
      <c r="H2375" s="11"/>
      <c r="I2375" s="12">
        <v>1</v>
      </c>
      <c r="J2375" s="12">
        <v>1</v>
      </c>
      <c r="K2375" s="13" t="str">
        <f>HYPERLINK("http://twitter.com/download/android","Twitter for Android")</f>
        <v>Twitter for Android</v>
      </c>
      <c r="L2375" s="12">
        <v>2669</v>
      </c>
      <c r="M2375" s="12">
        <v>3528</v>
      </c>
      <c r="N2375" s="12">
        <v>7</v>
      </c>
      <c r="O2375" s="14"/>
      <c r="P2375" s="6">
        <v>41788.778657407405</v>
      </c>
      <c r="Q2375" s="11"/>
      <c r="R2375" s="17" t="s">
        <v>8032</v>
      </c>
      <c r="S2375" s="11"/>
      <c r="T2375" s="11"/>
      <c r="U2375" s="10" t="str">
        <f>HYPERLINK("https://pbs.twimg.com/profile_images/1066656705189163008/734rNxzo.jpg","View")</f>
        <v>View</v>
      </c>
    </row>
    <row r="2376" spans="1:21" ht="91.8">
      <c r="A2376" s="6">
        <v>43438.717222222222</v>
      </c>
      <c r="B2376" s="7" t="str">
        <f>HYPERLINK("https://twitter.com/estoyharto1","@estoyharto1")</f>
        <v>@estoyharto1</v>
      </c>
      <c r="C2376" s="8" t="s">
        <v>1887</v>
      </c>
      <c r="D2376" s="9" t="s">
        <v>8033</v>
      </c>
      <c r="E2376" s="10" t="str">
        <f>HYPERLINK("https://twitter.com/estoyharto1/status/1069987897623920640","1069987897623920640")</f>
        <v>1069987897623920640</v>
      </c>
      <c r="F2376" s="16" t="s">
        <v>8034</v>
      </c>
      <c r="G2376" s="16" t="s">
        <v>53</v>
      </c>
      <c r="H2376" s="11"/>
      <c r="I2376" s="12">
        <v>4</v>
      </c>
      <c r="J2376" s="12">
        <v>0</v>
      </c>
      <c r="K2376" s="13" t="str">
        <f>HYPERLINK("http://twitter.com/download/iphone","Twitter for iPhone")</f>
        <v>Twitter for iPhone</v>
      </c>
      <c r="L2376" s="12">
        <v>1464</v>
      </c>
      <c r="M2376" s="12">
        <v>711</v>
      </c>
      <c r="N2376" s="12">
        <v>5</v>
      </c>
      <c r="O2376" s="14"/>
      <c r="P2376" s="6">
        <v>41079.495462962965</v>
      </c>
      <c r="Q2376" s="11"/>
      <c r="R2376" s="17" t="s">
        <v>1889</v>
      </c>
      <c r="S2376" s="11"/>
      <c r="T2376" s="11"/>
      <c r="U2376" s="10" t="str">
        <f>HYPERLINK("https://pbs.twimg.com/profile_images/917013967352016896/yPYBWVQf.jpg","View")</f>
        <v>View</v>
      </c>
    </row>
    <row r="2377" spans="1:21" ht="20.399999999999999">
      <c r="A2377" s="6">
        <v>43438.715844907405</v>
      </c>
      <c r="B2377" s="7" t="str">
        <f>HYPERLINK("https://twitter.com/elmoratuit","@elmoratuit")</f>
        <v>@elmoratuit</v>
      </c>
      <c r="C2377" s="8" t="s">
        <v>8035</v>
      </c>
      <c r="D2377" s="9" t="s">
        <v>8036</v>
      </c>
      <c r="E2377" s="10" t="str">
        <f>HYPERLINK("https://twitter.com/elmoratuit/status/1069987398040371200","1069987398040371200")</f>
        <v>1069987398040371200</v>
      </c>
      <c r="F2377" s="11"/>
      <c r="G2377" s="11"/>
      <c r="H2377" s="11"/>
      <c r="I2377" s="12">
        <v>0</v>
      </c>
      <c r="J2377" s="12">
        <v>0</v>
      </c>
      <c r="K2377" s="13" t="str">
        <f>HYPERLINK("http://twitter.com/download/android","Twitter for Android")</f>
        <v>Twitter for Android</v>
      </c>
      <c r="L2377" s="12">
        <v>1330</v>
      </c>
      <c r="M2377" s="12">
        <v>979</v>
      </c>
      <c r="N2377" s="12">
        <v>13</v>
      </c>
      <c r="O2377" s="14"/>
      <c r="P2377" s="6">
        <v>40547.938888888893</v>
      </c>
      <c r="Q2377" s="15" t="s">
        <v>8037</v>
      </c>
      <c r="R2377" s="17" t="s">
        <v>8038</v>
      </c>
      <c r="S2377" s="16" t="s">
        <v>8039</v>
      </c>
      <c r="T2377" s="11"/>
      <c r="U2377" s="10" t="str">
        <f>HYPERLINK("https://pbs.twimg.com/profile_images/691216644031537153/nGVzXeBn.jpg","View")</f>
        <v>View</v>
      </c>
    </row>
    <row r="2378" spans="1:21" ht="71.400000000000006">
      <c r="A2378" s="6">
        <v>43438.71471064815</v>
      </c>
      <c r="B2378" s="7" t="str">
        <f>HYPERLINK("https://twitter.com/AndresSanto_","@AndresSanto_")</f>
        <v>@AndresSanto_</v>
      </c>
      <c r="C2378" s="8" t="s">
        <v>5007</v>
      </c>
      <c r="D2378" s="9" t="s">
        <v>8040</v>
      </c>
      <c r="E2378" s="10" t="str">
        <f>HYPERLINK("https://twitter.com/AndresSanto_/status/1069986987359256576","1069986987359256576")</f>
        <v>1069986987359256576</v>
      </c>
      <c r="F2378" s="15" t="s">
        <v>8041</v>
      </c>
      <c r="G2378" s="11"/>
      <c r="H2378" s="11"/>
      <c r="I2378" s="12">
        <v>0</v>
      </c>
      <c r="J2378" s="12">
        <v>1</v>
      </c>
      <c r="K2378" s="13" t="str">
        <f>HYPERLINK("http://twitter.com","Twitter Web Client")</f>
        <v>Twitter Web Client</v>
      </c>
      <c r="L2378" s="12">
        <v>2347</v>
      </c>
      <c r="M2378" s="12">
        <v>1778</v>
      </c>
      <c r="N2378" s="12">
        <v>68</v>
      </c>
      <c r="O2378" s="14"/>
      <c r="P2378" s="6">
        <v>40773.75135416667</v>
      </c>
      <c r="Q2378" s="15" t="s">
        <v>676</v>
      </c>
      <c r="R2378" s="17" t="s">
        <v>5010</v>
      </c>
      <c r="S2378" s="11"/>
      <c r="T2378" s="11"/>
      <c r="U2378" s="10" t="str">
        <f>HYPERLINK("https://pbs.twimg.com/profile_images/1062028217861709824/wyaW6mQk.jpg","View")</f>
        <v>View</v>
      </c>
    </row>
    <row r="2379" spans="1:21" ht="40.799999999999997">
      <c r="A2379" s="6">
        <v>43438.713541666672</v>
      </c>
      <c r="B2379" s="7" t="str">
        <f>HYPERLINK("https://twitter.com/SergiMargaretto","@SergiMargaretto")</f>
        <v>@SergiMargaretto</v>
      </c>
      <c r="C2379" s="8" t="s">
        <v>8042</v>
      </c>
      <c r="D2379" s="9" t="s">
        <v>8043</v>
      </c>
      <c r="E2379" s="10" t="str">
        <f>HYPERLINK("https://twitter.com/SergiMargaretto/status/1069986563172511744","1069986563172511744")</f>
        <v>1069986563172511744</v>
      </c>
      <c r="F2379" s="16" t="s">
        <v>428</v>
      </c>
      <c r="G2379" s="11"/>
      <c r="H2379" s="11"/>
      <c r="I2379" s="12">
        <v>0</v>
      </c>
      <c r="J2379" s="12">
        <v>0</v>
      </c>
      <c r="K2379" s="13" t="str">
        <f t="shared" ref="K2379:K2380" si="539">HYPERLINK("http://twitter.com/download/android","Twitter for Android")</f>
        <v>Twitter for Android</v>
      </c>
      <c r="L2379" s="12">
        <v>92</v>
      </c>
      <c r="M2379" s="12">
        <v>437</v>
      </c>
      <c r="N2379" s="12">
        <v>3</v>
      </c>
      <c r="O2379" s="14"/>
      <c r="P2379" s="6">
        <v>40803.458483796298</v>
      </c>
      <c r="Q2379" s="15" t="s">
        <v>6497</v>
      </c>
      <c r="R2379" s="17" t="s">
        <v>8044</v>
      </c>
      <c r="S2379" s="11"/>
      <c r="T2379" s="11"/>
      <c r="U2379" s="10" t="str">
        <f>HYPERLINK("https://pbs.twimg.com/profile_images/874661206790950912/mzElplun.jpg","View")</f>
        <v>View</v>
      </c>
    </row>
    <row r="2380" spans="1:21" ht="30.6">
      <c r="A2380" s="6">
        <v>43438.713530092587</v>
      </c>
      <c r="B2380" s="7" t="str">
        <f>HYPERLINK("https://twitter.com/independendmeme","@independendmeme")</f>
        <v>@independendmeme</v>
      </c>
      <c r="C2380" s="8" t="s">
        <v>8045</v>
      </c>
      <c r="D2380" s="9" t="s">
        <v>8046</v>
      </c>
      <c r="E2380" s="10" t="str">
        <f>HYPERLINK("https://twitter.com/independendmeme/status/1069986557006876672","1069986557006876672")</f>
        <v>1069986557006876672</v>
      </c>
      <c r="F2380" s="11"/>
      <c r="G2380" s="11"/>
      <c r="H2380" s="11"/>
      <c r="I2380" s="12">
        <v>3</v>
      </c>
      <c r="J2380" s="12">
        <v>7</v>
      </c>
      <c r="K2380" s="13" t="str">
        <f t="shared" si="539"/>
        <v>Twitter for Android</v>
      </c>
      <c r="L2380" s="12">
        <v>640</v>
      </c>
      <c r="M2380" s="12">
        <v>407</v>
      </c>
      <c r="N2380" s="12">
        <v>2</v>
      </c>
      <c r="O2380" s="14"/>
      <c r="P2380" s="6">
        <v>43172.954560185186</v>
      </c>
      <c r="Q2380" s="15" t="s">
        <v>8047</v>
      </c>
      <c r="R2380" s="17" t="s">
        <v>8048</v>
      </c>
      <c r="S2380" s="11"/>
      <c r="T2380" s="11"/>
      <c r="U2380" s="10" t="str">
        <f>HYPERLINK("https://pbs.twimg.com/profile_images/1070197449992617984/AMq69k4D.jpg","View")</f>
        <v>View</v>
      </c>
    </row>
    <row r="2381" spans="1:21" ht="51">
      <c r="A2381" s="6">
        <v>43438.709722222222</v>
      </c>
      <c r="B2381" s="7" t="str">
        <f t="shared" ref="B2381:B2382" si="540">HYPERLINK("https://twitter.com/bitMomentum","@bitMomentum")</f>
        <v>@bitMomentum</v>
      </c>
      <c r="C2381" s="8" t="s">
        <v>82</v>
      </c>
      <c r="D2381" s="9" t="s">
        <v>8049</v>
      </c>
      <c r="E2381" s="10" t="str">
        <f>HYPERLINK("https://twitter.com/bitMomentum/status/1069985176720154624","1069985176720154624")</f>
        <v>1069985176720154624</v>
      </c>
      <c r="F2381" s="11"/>
      <c r="G2381" s="11"/>
      <c r="H2381" s="11"/>
      <c r="I2381" s="12">
        <v>0</v>
      </c>
      <c r="J2381" s="12">
        <v>0</v>
      </c>
      <c r="K2381" s="13" t="str">
        <f t="shared" ref="K2381:K2382" si="541">HYPERLINK("http://www.bitmomentum.com","bitMomentum Bot")</f>
        <v>bitMomentum Bot</v>
      </c>
      <c r="L2381" s="12">
        <v>10253</v>
      </c>
      <c r="M2381" s="12">
        <v>1059</v>
      </c>
      <c r="N2381" s="12">
        <v>263</v>
      </c>
      <c r="O2381" s="14"/>
      <c r="P2381" s="6">
        <v>41608.667511574073</v>
      </c>
      <c r="Q2381" s="11"/>
      <c r="R2381" s="17" t="s">
        <v>84</v>
      </c>
      <c r="S2381" s="16" t="s">
        <v>85</v>
      </c>
      <c r="T2381" s="11"/>
      <c r="U2381" s="10" t="str">
        <f t="shared" ref="U2381:U2382" si="542">HYPERLINK("https://pbs.twimg.com/profile_images/378800000862185241/20ij2H3u.png","View")</f>
        <v>View</v>
      </c>
    </row>
    <row r="2382" spans="1:21" ht="51">
      <c r="A2382" s="6">
        <v>43438.709027777775</v>
      </c>
      <c r="B2382" s="7" t="str">
        <f t="shared" si="540"/>
        <v>@bitMomentum</v>
      </c>
      <c r="C2382" s="8" t="s">
        <v>82</v>
      </c>
      <c r="D2382" s="9" t="s">
        <v>8050</v>
      </c>
      <c r="E2382" s="10" t="str">
        <f>HYPERLINK("https://twitter.com/bitMomentum/status/1069984925514850304","1069984925514850304")</f>
        <v>1069984925514850304</v>
      </c>
      <c r="F2382" s="11"/>
      <c r="G2382" s="11"/>
      <c r="H2382" s="11"/>
      <c r="I2382" s="12">
        <v>0</v>
      </c>
      <c r="J2382" s="12">
        <v>0</v>
      </c>
      <c r="K2382" s="13" t="str">
        <f t="shared" si="541"/>
        <v>bitMomentum Bot</v>
      </c>
      <c r="L2382" s="12">
        <v>10253</v>
      </c>
      <c r="M2382" s="12">
        <v>1059</v>
      </c>
      <c r="N2382" s="12">
        <v>263</v>
      </c>
      <c r="O2382" s="14"/>
      <c r="P2382" s="6">
        <v>41608.667511574073</v>
      </c>
      <c r="Q2382" s="11"/>
      <c r="R2382" s="17" t="s">
        <v>84</v>
      </c>
      <c r="S2382" s="16" t="s">
        <v>85</v>
      </c>
      <c r="T2382" s="11"/>
      <c r="U2382" s="10" t="str">
        <f t="shared" si="542"/>
        <v>View</v>
      </c>
    </row>
    <row r="2383" spans="1:21" ht="71.400000000000006">
      <c r="A2383" s="6">
        <v>43438.708101851851</v>
      </c>
      <c r="B2383" s="7" t="str">
        <f>HYPERLINK("https://twitter.com/JonLavey","@JonLavey")</f>
        <v>@JonLavey</v>
      </c>
      <c r="C2383" s="8" t="s">
        <v>3040</v>
      </c>
      <c r="D2383" s="9" t="s">
        <v>8051</v>
      </c>
      <c r="E2383" s="10" t="str">
        <f>HYPERLINK("https://twitter.com/JonLavey/status/1069984591270854656","1069984591270854656")</f>
        <v>1069984591270854656</v>
      </c>
      <c r="F2383" s="16" t="s">
        <v>8052</v>
      </c>
      <c r="G2383" s="11"/>
      <c r="H2383" s="11"/>
      <c r="I2383" s="12">
        <v>0</v>
      </c>
      <c r="J2383" s="12">
        <v>0</v>
      </c>
      <c r="K2383" s="13" t="str">
        <f>HYPERLINK("http://twitter.com/download/android","Twitter for Android")</f>
        <v>Twitter for Android</v>
      </c>
      <c r="L2383" s="12">
        <v>52</v>
      </c>
      <c r="M2383" s="12">
        <v>131</v>
      </c>
      <c r="N2383" s="12">
        <v>0</v>
      </c>
      <c r="O2383" s="14"/>
      <c r="P2383" s="6">
        <v>43251.737442129626</v>
      </c>
      <c r="Q2383" s="15" t="s">
        <v>1546</v>
      </c>
      <c r="R2383" s="17" t="s">
        <v>3043</v>
      </c>
      <c r="S2383" s="11"/>
      <c r="T2383" s="11"/>
      <c r="U2383" s="10" t="str">
        <f>HYPERLINK("https://pbs.twimg.com/profile_images/1002225228930519045/IuhMoZTW.jpg","View")</f>
        <v>View</v>
      </c>
    </row>
    <row r="2384" spans="1:21" ht="30.6">
      <c r="A2384" s="6">
        <v>43438.706909722227</v>
      </c>
      <c r="B2384" s="7" t="str">
        <f>HYPERLINK("https://twitter.com/diariojereles","@diariojereles")</f>
        <v>@diariojereles</v>
      </c>
      <c r="C2384" s="8" t="s">
        <v>8053</v>
      </c>
      <c r="D2384" s="9" t="s">
        <v>8054</v>
      </c>
      <c r="E2384" s="10" t="str">
        <f>HYPERLINK("https://twitter.com/diariojereles/status/1069984158750044160","1069984158750044160")</f>
        <v>1069984158750044160</v>
      </c>
      <c r="F2384" s="16" t="s">
        <v>8055</v>
      </c>
      <c r="G2384" s="11"/>
      <c r="H2384" s="11"/>
      <c r="I2384" s="12">
        <v>4</v>
      </c>
      <c r="J2384" s="12">
        <v>3</v>
      </c>
      <c r="K2384" s="13" t="str">
        <f>HYPERLINK("http://twitter.com","Twitter Web Client")</f>
        <v>Twitter Web Client</v>
      </c>
      <c r="L2384" s="12">
        <v>3370</v>
      </c>
      <c r="M2384" s="12">
        <v>145</v>
      </c>
      <c r="N2384" s="12">
        <v>9</v>
      </c>
      <c r="O2384" s="14"/>
      <c r="P2384" s="6">
        <v>41415.512569444443</v>
      </c>
      <c r="Q2384" s="15" t="s">
        <v>5817</v>
      </c>
      <c r="R2384" s="17" t="s">
        <v>8056</v>
      </c>
      <c r="S2384" s="16" t="s">
        <v>8057</v>
      </c>
      <c r="T2384" s="11"/>
      <c r="U2384" s="10" t="str">
        <f>HYPERLINK("https://pbs.twimg.com/profile_images/1054802734724063238/Dq4wefJe.jpg","View")</f>
        <v>View</v>
      </c>
    </row>
    <row r="2385" spans="1:21" ht="20.399999999999999">
      <c r="A2385" s="6">
        <v>43438.706041666665</v>
      </c>
      <c r="B2385" s="7" t="str">
        <f>HYPERLINK("https://twitter.com/diegest","@diegest")</f>
        <v>@diegest</v>
      </c>
      <c r="C2385" s="8" t="s">
        <v>8058</v>
      </c>
      <c r="D2385" s="9" t="s">
        <v>8059</v>
      </c>
      <c r="E2385" s="10" t="str">
        <f>HYPERLINK("https://twitter.com/diegest/status/1069983845020246016","1069983845020246016")</f>
        <v>1069983845020246016</v>
      </c>
      <c r="F2385" s="16" t="s">
        <v>1095</v>
      </c>
      <c r="G2385" s="11"/>
      <c r="H2385" s="11"/>
      <c r="I2385" s="12">
        <v>4</v>
      </c>
      <c r="J2385" s="12">
        <v>4</v>
      </c>
      <c r="K2385" s="13" t="str">
        <f>HYPERLINK("http://twitter.com/download/iphone","Twitter for iPhone")</f>
        <v>Twitter for iPhone</v>
      </c>
      <c r="L2385" s="12">
        <v>223</v>
      </c>
      <c r="M2385" s="12">
        <v>169</v>
      </c>
      <c r="N2385" s="12">
        <v>2</v>
      </c>
      <c r="O2385" s="14"/>
      <c r="P2385" s="6">
        <v>41005.754965277782</v>
      </c>
      <c r="Q2385" s="15" t="s">
        <v>8060</v>
      </c>
      <c r="R2385" s="18"/>
      <c r="S2385" s="16" t="s">
        <v>8061</v>
      </c>
      <c r="T2385" s="11"/>
      <c r="U2385" s="10" t="str">
        <f>HYPERLINK("https://pbs.twimg.com/profile_images/856282223468740609/M4I13suG.jpg","View")</f>
        <v>View</v>
      </c>
    </row>
    <row r="2386" spans="1:21" ht="20.399999999999999">
      <c r="A2386" s="6">
        <v>43438.705740740741</v>
      </c>
      <c r="B2386" s="7" t="str">
        <f>HYPERLINK("https://twitter.com/AlbiolsPons","@AlbiolsPons")</f>
        <v>@AlbiolsPons</v>
      </c>
      <c r="C2386" s="8" t="s">
        <v>7098</v>
      </c>
      <c r="D2386" s="9" t="s">
        <v>8062</v>
      </c>
      <c r="E2386" s="10" t="str">
        <f>HYPERLINK("https://twitter.com/AlbiolsPons/status/1069983733355294720","1069983733355294720")</f>
        <v>1069983733355294720</v>
      </c>
      <c r="F2386" s="11"/>
      <c r="G2386" s="11"/>
      <c r="H2386" s="11"/>
      <c r="I2386" s="12">
        <v>0</v>
      </c>
      <c r="J2386" s="12">
        <v>0</v>
      </c>
      <c r="K2386" s="13" t="str">
        <f>HYPERLINK("http://twitter.com","Twitter Web Client")</f>
        <v>Twitter Web Client</v>
      </c>
      <c r="L2386" s="12">
        <v>210</v>
      </c>
      <c r="M2386" s="12">
        <v>127</v>
      </c>
      <c r="N2386" s="12">
        <v>0</v>
      </c>
      <c r="O2386" s="14"/>
      <c r="P2386" s="6">
        <v>43388.818819444445</v>
      </c>
      <c r="Q2386" s="11"/>
      <c r="R2386" s="17" t="s">
        <v>7100</v>
      </c>
      <c r="S2386" s="11"/>
      <c r="T2386" s="11"/>
      <c r="U2386" s="10" t="str">
        <f>HYPERLINK("https://pbs.twimg.com/profile_images/1051902910571929600/N85sYCId.jpg","View")</f>
        <v>View</v>
      </c>
    </row>
    <row r="2387" spans="1:21" ht="51">
      <c r="A2387" s="6">
        <v>43438.705625000002</v>
      </c>
      <c r="B2387" s="7" t="str">
        <f>HYPERLINK("https://twitter.com/UlisesGamez10","@UlisesGamez10")</f>
        <v>@UlisesGamez10</v>
      </c>
      <c r="C2387" s="8" t="s">
        <v>233</v>
      </c>
      <c r="D2387" s="9" t="s">
        <v>8063</v>
      </c>
      <c r="E2387" s="10" t="str">
        <f>HYPERLINK("https://twitter.com/UlisesGamez10/status/1069983692414685185","1069983692414685185")</f>
        <v>1069983692414685185</v>
      </c>
      <c r="F2387" s="11"/>
      <c r="G2387" s="11"/>
      <c r="H2387" s="11"/>
      <c r="I2387" s="12">
        <v>6</v>
      </c>
      <c r="J2387" s="12">
        <v>8</v>
      </c>
      <c r="K2387" s="13" t="str">
        <f t="shared" ref="K2387:K2388" si="543">HYPERLINK("http://twitter.com/download/android","Twitter for Android")</f>
        <v>Twitter for Android</v>
      </c>
      <c r="L2387" s="12">
        <v>1184</v>
      </c>
      <c r="M2387" s="12">
        <v>5002</v>
      </c>
      <c r="N2387" s="12">
        <v>0</v>
      </c>
      <c r="O2387" s="14"/>
      <c r="P2387" s="6">
        <v>43190.59783564815</v>
      </c>
      <c r="Q2387" s="15" t="s">
        <v>236</v>
      </c>
      <c r="R2387" s="17" t="s">
        <v>237</v>
      </c>
      <c r="S2387" s="11"/>
      <c r="T2387" s="11"/>
      <c r="U2387" s="10" t="str">
        <f>HYPERLINK("https://pbs.twimg.com/profile_images/1068881444196499456/MCgxp2WR.jpg","View")</f>
        <v>View</v>
      </c>
    </row>
    <row r="2388" spans="1:21" ht="30.6">
      <c r="A2388" s="6">
        <v>43438.704317129625</v>
      </c>
      <c r="B2388" s="7" t="str">
        <f>HYPERLINK("https://twitter.com/bea_vox","@bea_vox")</f>
        <v>@bea_vox</v>
      </c>
      <c r="C2388" s="8" t="s">
        <v>8064</v>
      </c>
      <c r="D2388" s="9" t="s">
        <v>8065</v>
      </c>
      <c r="E2388" s="10" t="str">
        <f>HYPERLINK("https://twitter.com/bea_vox/status/1069983219490148352","1069983219490148352")</f>
        <v>1069983219490148352</v>
      </c>
      <c r="F2388" s="16" t="s">
        <v>1568</v>
      </c>
      <c r="G2388" s="11"/>
      <c r="H2388" s="11"/>
      <c r="I2388" s="12">
        <v>0</v>
      </c>
      <c r="J2388" s="12">
        <v>0</v>
      </c>
      <c r="K2388" s="13" t="str">
        <f t="shared" si="543"/>
        <v>Twitter for Android</v>
      </c>
      <c r="L2388" s="12">
        <v>45</v>
      </c>
      <c r="M2388" s="12">
        <v>107</v>
      </c>
      <c r="N2388" s="12">
        <v>0</v>
      </c>
      <c r="O2388" s="14"/>
      <c r="P2388" s="6">
        <v>43419.020914351851</v>
      </c>
      <c r="Q2388" s="11"/>
      <c r="R2388" s="17" t="s">
        <v>8066</v>
      </c>
      <c r="S2388" s="11"/>
      <c r="T2388" s="11"/>
      <c r="U2388" s="10" t="str">
        <f>HYPERLINK("https://pbs.twimg.com/profile_images/1065580759497539584/hG5ttK5y.jpg","View")</f>
        <v>View</v>
      </c>
    </row>
    <row r="2389" spans="1:21" ht="30.6">
      <c r="A2389" s="6">
        <v>43438.703634259262</v>
      </c>
      <c r="B2389" s="7" t="str">
        <f>HYPERLINK("https://twitter.com/EspInconforme","@EspInconforme")</f>
        <v>@EspInconforme</v>
      </c>
      <c r="C2389" s="8" t="s">
        <v>8067</v>
      </c>
      <c r="D2389" s="9" t="s">
        <v>8068</v>
      </c>
      <c r="E2389" s="10" t="str">
        <f>HYPERLINK("https://twitter.com/EspInconforme/status/1069982971141210113","1069982971141210113")</f>
        <v>1069982971141210113</v>
      </c>
      <c r="F2389" s="11"/>
      <c r="G2389" s="16" t="s">
        <v>8069</v>
      </c>
      <c r="H2389" s="11"/>
      <c r="I2389" s="12">
        <v>1</v>
      </c>
      <c r="J2389" s="12">
        <v>1</v>
      </c>
      <c r="K2389" s="13" t="str">
        <f t="shared" ref="K2389:K2390" si="544">HYPERLINK("http://twitter.com/download/iphone","Twitter for iPhone")</f>
        <v>Twitter for iPhone</v>
      </c>
      <c r="L2389" s="12">
        <v>15</v>
      </c>
      <c r="M2389" s="12">
        <v>21</v>
      </c>
      <c r="N2389" s="12">
        <v>0</v>
      </c>
      <c r="O2389" s="14"/>
      <c r="P2389" s="6">
        <v>43405.97451388889</v>
      </c>
      <c r="Q2389" s="11"/>
      <c r="R2389" s="18"/>
      <c r="S2389" s="11"/>
      <c r="T2389" s="11"/>
      <c r="U2389" s="10" t="str">
        <f>HYPERLINK("https://pbs.twimg.com/profile_images/1058124167441211392/z4gJWDGX.jpg","View")</f>
        <v>View</v>
      </c>
    </row>
    <row r="2390" spans="1:21" ht="40.799999999999997">
      <c r="A2390" s="6">
        <v>43438.703275462962</v>
      </c>
      <c r="B2390" s="7" t="str">
        <f>HYPERLINK("https://twitter.com/princess_leonor","@princess_leonor")</f>
        <v>@princess_leonor</v>
      </c>
      <c r="C2390" s="8" t="s">
        <v>8070</v>
      </c>
      <c r="D2390" s="9" t="s">
        <v>8071</v>
      </c>
      <c r="E2390" s="10" t="str">
        <f>HYPERLINK("https://twitter.com/princess_leonor/status/1069982843374366720","1069982843374366720")</f>
        <v>1069982843374366720</v>
      </c>
      <c r="F2390" s="11"/>
      <c r="G2390" s="11"/>
      <c r="H2390" s="11"/>
      <c r="I2390" s="12">
        <v>8</v>
      </c>
      <c r="J2390" s="12">
        <v>27</v>
      </c>
      <c r="K2390" s="13" t="str">
        <f t="shared" si="544"/>
        <v>Twitter for iPhone</v>
      </c>
      <c r="L2390" s="12">
        <v>3051</v>
      </c>
      <c r="M2390" s="12">
        <v>651</v>
      </c>
      <c r="N2390" s="12">
        <v>80</v>
      </c>
      <c r="O2390" s="14"/>
      <c r="P2390" s="6">
        <v>40983.044120370367</v>
      </c>
      <c r="Q2390" s="15" t="s">
        <v>8072</v>
      </c>
      <c r="R2390" s="17" t="s">
        <v>8073</v>
      </c>
      <c r="S2390" s="11"/>
      <c r="T2390" s="11"/>
      <c r="U2390" s="10" t="str">
        <f>HYPERLINK("https://pbs.twimg.com/profile_images/1062823440154025985/MeJtVZBt.jpg","View")</f>
        <v>View</v>
      </c>
    </row>
    <row r="2391" spans="1:21" ht="51">
      <c r="A2391" s="6">
        <v>43438.702893518523</v>
      </c>
      <c r="B2391" s="7" t="str">
        <f>HYPERLINK("https://twitter.com/Oscar__Grouch","@Oscar__Grouch")</f>
        <v>@Oscar__Grouch</v>
      </c>
      <c r="C2391" s="8" t="s">
        <v>8074</v>
      </c>
      <c r="D2391" s="9" t="s">
        <v>8075</v>
      </c>
      <c r="E2391" s="10" t="str">
        <f>HYPERLINK("https://twitter.com/Oscar__Grouch/status/1069982704668737536","1069982704668737536")</f>
        <v>1069982704668737536</v>
      </c>
      <c r="F2391" s="11"/>
      <c r="G2391" s="11"/>
      <c r="H2391" s="11"/>
      <c r="I2391" s="12">
        <v>94</v>
      </c>
      <c r="J2391" s="12">
        <v>378</v>
      </c>
      <c r="K2391" s="13" t="str">
        <f>HYPERLINK("http://twitter.com/download/android","Twitter for Android")</f>
        <v>Twitter for Android</v>
      </c>
      <c r="L2391" s="12">
        <v>658</v>
      </c>
      <c r="M2391" s="12">
        <v>757</v>
      </c>
      <c r="N2391" s="12">
        <v>5</v>
      </c>
      <c r="O2391" s="14"/>
      <c r="P2391" s="6">
        <v>40761.471932870372</v>
      </c>
      <c r="Q2391" s="15" t="s">
        <v>197</v>
      </c>
      <c r="R2391" s="17" t="s">
        <v>8076</v>
      </c>
      <c r="S2391" s="11"/>
      <c r="T2391" s="11"/>
      <c r="U2391" s="10" t="str">
        <f>HYPERLINK("https://pbs.twimg.com/profile_images/451395041445965824/t3vXwdYW.jpeg","View")</f>
        <v>View</v>
      </c>
    </row>
    <row r="2392" spans="1:21" ht="30.6">
      <c r="A2392" s="6">
        <v>43438.701388888891</v>
      </c>
      <c r="B2392" s="7" t="str">
        <f>HYPERLINK("https://twitter.com/elnegrodelwha_t","@elnegrodelwha_t")</f>
        <v>@elnegrodelwha_t</v>
      </c>
      <c r="C2392" s="8" t="s">
        <v>8077</v>
      </c>
      <c r="D2392" s="9" t="s">
        <v>8078</v>
      </c>
      <c r="E2392" s="10" t="str">
        <f>HYPERLINK("https://twitter.com/elnegrodelwha_t/status/1069982159673401344","1069982159673401344")</f>
        <v>1069982159673401344</v>
      </c>
      <c r="F2392" s="11"/>
      <c r="G2392" s="11"/>
      <c r="H2392" s="11"/>
      <c r="I2392" s="12">
        <v>0</v>
      </c>
      <c r="J2392" s="12">
        <v>1</v>
      </c>
      <c r="K2392" s="13" t="str">
        <f>HYPERLINK("http://twitter.com/download/iphone","Twitter for iPhone")</f>
        <v>Twitter for iPhone</v>
      </c>
      <c r="L2392" s="12">
        <v>102</v>
      </c>
      <c r="M2392" s="12">
        <v>83</v>
      </c>
      <c r="N2392" s="12">
        <v>0</v>
      </c>
      <c r="O2392" s="14"/>
      <c r="P2392" s="6">
        <v>43044.947800925926</v>
      </c>
      <c r="Q2392" s="15" t="s">
        <v>8079</v>
      </c>
      <c r="R2392" s="17" t="s">
        <v>8080</v>
      </c>
      <c r="S2392" s="11"/>
      <c r="T2392" s="11"/>
      <c r="U2392" s="10" t="str">
        <f>HYPERLINK("https://pbs.twimg.com/profile_images/927295915442016258/9Wk53BV-.jpg","View")</f>
        <v>View</v>
      </c>
    </row>
    <row r="2393" spans="1:21" ht="20.399999999999999">
      <c r="A2393" s="6">
        <v>43438.701157407406</v>
      </c>
      <c r="B2393" s="7" t="str">
        <f>HYPERLINK("https://twitter.com/Afromary__","@Afromary__")</f>
        <v>@Afromary__</v>
      </c>
      <c r="C2393" s="8" t="s">
        <v>8081</v>
      </c>
      <c r="D2393" s="9" t="s">
        <v>8082</v>
      </c>
      <c r="E2393" s="10" t="str">
        <f>HYPERLINK("https://twitter.com/Afromary__/status/1069982073337843712","1069982073337843712")</f>
        <v>1069982073337843712</v>
      </c>
      <c r="F2393" s="11"/>
      <c r="G2393" s="11"/>
      <c r="H2393" s="11"/>
      <c r="I2393" s="12">
        <v>0</v>
      </c>
      <c r="J2393" s="12">
        <v>0</v>
      </c>
      <c r="K2393" s="13" t="str">
        <f>HYPERLINK("http://twitter.com/download/android","Twitter for Android")</f>
        <v>Twitter for Android</v>
      </c>
      <c r="L2393" s="12">
        <v>77</v>
      </c>
      <c r="M2393" s="12">
        <v>256</v>
      </c>
      <c r="N2393" s="12">
        <v>0</v>
      </c>
      <c r="O2393" s="14"/>
      <c r="P2393" s="6">
        <v>43374.964641203704</v>
      </c>
      <c r="Q2393" s="11"/>
      <c r="R2393" s="18"/>
      <c r="S2393" s="11"/>
      <c r="T2393" s="11"/>
      <c r="U2393" s="10" t="str">
        <f>HYPERLINK("https://pbs.twimg.com/profile_images/1046871009142423552/faYtP-Fb.jpg","View")</f>
        <v>View</v>
      </c>
    </row>
    <row r="2394" spans="1:21" ht="51">
      <c r="A2394" s="6">
        <v>43438.70112268519</v>
      </c>
      <c r="B2394" s="7" t="str">
        <f>HYPERLINK("https://twitter.com/TransUPM","@TransUPM")</f>
        <v>@TransUPM</v>
      </c>
      <c r="C2394" s="8" t="s">
        <v>293</v>
      </c>
      <c r="D2394" s="9" t="s">
        <v>8083</v>
      </c>
      <c r="E2394" s="10" t="str">
        <f>HYPERLINK("https://twitter.com/TransUPM/status/1069982060331327488","1069982060331327488")</f>
        <v>1069982060331327488</v>
      </c>
      <c r="F2394" s="16" t="s">
        <v>8084</v>
      </c>
      <c r="G2394" s="11"/>
      <c r="H2394" s="11"/>
      <c r="I2394" s="12">
        <v>0</v>
      </c>
      <c r="J2394" s="12">
        <v>1</v>
      </c>
      <c r="K2394" s="13" t="str">
        <f>HYPERLINK("http://twitter.com/#!/download/ipad","Twitter for iPad")</f>
        <v>Twitter for iPad</v>
      </c>
      <c r="L2394" s="12">
        <v>742</v>
      </c>
      <c r="M2394" s="12">
        <v>748</v>
      </c>
      <c r="N2394" s="12">
        <v>25</v>
      </c>
      <c r="O2394" s="14"/>
      <c r="P2394" s="6">
        <v>40990.723449074074</v>
      </c>
      <c r="Q2394" s="15" t="s">
        <v>296</v>
      </c>
      <c r="R2394" s="17" t="s">
        <v>297</v>
      </c>
      <c r="S2394" s="11"/>
      <c r="T2394" s="11"/>
      <c r="U2394" s="10" t="str">
        <f>HYPERLINK("https://pbs.twimg.com/profile_images/991114054189109250/998-LfOp.jpg","View")</f>
        <v>View</v>
      </c>
    </row>
    <row r="2395" spans="1:21" ht="61.2">
      <c r="A2395" s="6">
        <v>43438.701006944444</v>
      </c>
      <c r="B2395" s="7" t="str">
        <f>HYPERLINK("https://twitter.com/BelnMoro2","@BelnMoro2")</f>
        <v>@BelnMoro2</v>
      </c>
      <c r="C2395" s="8" t="s">
        <v>8085</v>
      </c>
      <c r="D2395" s="9" t="s">
        <v>8086</v>
      </c>
      <c r="E2395" s="10" t="str">
        <f>HYPERLINK("https://twitter.com/BelnMoro2/status/1069982017994063872","1069982017994063872")</f>
        <v>1069982017994063872</v>
      </c>
      <c r="F2395" s="15" t="s">
        <v>8087</v>
      </c>
      <c r="G2395" s="11"/>
      <c r="H2395" s="11"/>
      <c r="I2395" s="12">
        <v>0</v>
      </c>
      <c r="J2395" s="12">
        <v>0</v>
      </c>
      <c r="K2395" s="13" t="str">
        <f t="shared" ref="K2395:K2396" si="545">HYPERLINK("https://mobile.twitter.com","Twitter Lite")</f>
        <v>Twitter Lite</v>
      </c>
      <c r="L2395" s="12">
        <v>32</v>
      </c>
      <c r="M2395" s="12">
        <v>219</v>
      </c>
      <c r="N2395" s="12">
        <v>0</v>
      </c>
      <c r="O2395" s="14"/>
      <c r="P2395" s="6">
        <v>43370.391921296294</v>
      </c>
      <c r="Q2395" s="11"/>
      <c r="R2395" s="17" t="s">
        <v>8088</v>
      </c>
      <c r="S2395" s="16" t="s">
        <v>8089</v>
      </c>
      <c r="T2395" s="11"/>
      <c r="U2395" s="10" t="str">
        <f>HYPERLINK("https://pbs.twimg.com/profile_images/1047006467205816320/LIeL-lKv.jpg","View")</f>
        <v>View</v>
      </c>
    </row>
    <row r="2396" spans="1:21" ht="51">
      <c r="A2396" s="6">
        <v>43438.698171296295</v>
      </c>
      <c r="B2396" s="7" t="str">
        <f>HYPERLINK("https://twitter.com/Derek_Catbcn","@Derek_Catbcn")</f>
        <v>@Derek_Catbcn</v>
      </c>
      <c r="C2396" s="8" t="s">
        <v>8090</v>
      </c>
      <c r="D2396" s="9" t="s">
        <v>8091</v>
      </c>
      <c r="E2396" s="10" t="str">
        <f>HYPERLINK("https://twitter.com/Derek_Catbcn/status/1069980991035490305","1069980991035490305")</f>
        <v>1069980991035490305</v>
      </c>
      <c r="F2396" s="11"/>
      <c r="G2396" s="11"/>
      <c r="H2396" s="11"/>
      <c r="I2396" s="12">
        <v>0</v>
      </c>
      <c r="J2396" s="12">
        <v>0</v>
      </c>
      <c r="K2396" s="13" t="str">
        <f t="shared" si="545"/>
        <v>Twitter Lite</v>
      </c>
      <c r="L2396" s="12">
        <v>25</v>
      </c>
      <c r="M2396" s="12">
        <v>65</v>
      </c>
      <c r="N2396" s="12">
        <v>0</v>
      </c>
      <c r="O2396" s="14"/>
      <c r="P2396" s="6">
        <v>43022.91883101852</v>
      </c>
      <c r="Q2396" s="11"/>
      <c r="R2396" s="18"/>
      <c r="S2396" s="11"/>
      <c r="T2396" s="11"/>
      <c r="U2396" s="10" t="str">
        <f>HYPERLINK("https://pbs.twimg.com/profile_images/1057845198431096832/VOwlZW1q.jpg","View")</f>
        <v>View</v>
      </c>
    </row>
    <row r="2397" spans="1:21" ht="51">
      <c r="A2397" s="6">
        <v>43438.696979166663</v>
      </c>
      <c r="B2397" s="7" t="str">
        <f>HYPERLINK("https://twitter.com/asigames_yt","@asigames_yt")</f>
        <v>@asigames_yt</v>
      </c>
      <c r="C2397" s="8" t="s">
        <v>8092</v>
      </c>
      <c r="D2397" s="9" t="s">
        <v>8093</v>
      </c>
      <c r="E2397" s="10" t="str">
        <f>HYPERLINK("https://twitter.com/asigames_yt/status/1069980560485945344","1069980560485945344")</f>
        <v>1069980560485945344</v>
      </c>
      <c r="F2397" s="11"/>
      <c r="G2397" s="16" t="s">
        <v>8094</v>
      </c>
      <c r="H2397" s="11"/>
      <c r="I2397" s="12">
        <v>0</v>
      </c>
      <c r="J2397" s="12">
        <v>0</v>
      </c>
      <c r="K2397" s="13" t="str">
        <f>HYPERLINK("http://twitter.com","Twitter Web Client")</f>
        <v>Twitter Web Client</v>
      </c>
      <c r="L2397" s="12">
        <v>14</v>
      </c>
      <c r="M2397" s="12">
        <v>201</v>
      </c>
      <c r="N2397" s="12">
        <v>0</v>
      </c>
      <c r="O2397" s="14"/>
      <c r="P2397" s="6">
        <v>42506.925706018519</v>
      </c>
      <c r="Q2397" s="11"/>
      <c r="R2397" s="18"/>
      <c r="S2397" s="11"/>
      <c r="T2397" s="11"/>
      <c r="U2397" s="10" t="str">
        <f>HYPERLINK("https://pbs.twimg.com/profile_images/768494241672597504/eP1womkE.jpg","View")</f>
        <v>View</v>
      </c>
    </row>
    <row r="2398" spans="1:21" ht="51">
      <c r="A2398" s="6">
        <v>43438.696006944447</v>
      </c>
      <c r="B2398" s="7" t="str">
        <f>HYPERLINK("https://twitter.com/Fitness_Rey","@Fitness_Rey")</f>
        <v>@Fitness_Rey</v>
      </c>
      <c r="C2398" s="8" t="s">
        <v>8095</v>
      </c>
      <c r="D2398" s="9" t="s">
        <v>8096</v>
      </c>
      <c r="E2398" s="10" t="str">
        <f>HYPERLINK("https://twitter.com/Fitness_Rey/status/1069980208336388096","1069980208336388096")</f>
        <v>1069980208336388096</v>
      </c>
      <c r="F2398" s="11"/>
      <c r="G2398" s="11"/>
      <c r="H2398" s="11"/>
      <c r="I2398" s="12">
        <v>0</v>
      </c>
      <c r="J2398" s="12">
        <v>0</v>
      </c>
      <c r="K2398" s="13" t="str">
        <f>HYPERLINK("http://twitter.com/download/iphone","Twitter for iPhone")</f>
        <v>Twitter for iPhone</v>
      </c>
      <c r="L2398" s="12">
        <v>69</v>
      </c>
      <c r="M2398" s="12">
        <v>142</v>
      </c>
      <c r="N2398" s="12">
        <v>0</v>
      </c>
      <c r="O2398" s="14"/>
      <c r="P2398" s="6">
        <v>41089.885393518518</v>
      </c>
      <c r="Q2398" s="15" t="s">
        <v>8097</v>
      </c>
      <c r="R2398" s="17" t="s">
        <v>8098</v>
      </c>
      <c r="S2398" s="11"/>
      <c r="T2398" s="11"/>
      <c r="U2398" s="10" t="str">
        <f>HYPERLINK("https://pbs.twimg.com/profile_images/1052471414635286529/9GjusBT4.jpg","View")</f>
        <v>View</v>
      </c>
    </row>
    <row r="2399" spans="1:21" ht="51">
      <c r="A2399" s="6">
        <v>43438.695787037039</v>
      </c>
      <c r="B2399" s="7" t="str">
        <f>HYPERLINK("https://twitter.com/NoAlExpolio","@NoAlExpolio")</f>
        <v>@NoAlExpolio</v>
      </c>
      <c r="C2399" s="8" t="s">
        <v>2242</v>
      </c>
      <c r="D2399" s="9" t="s">
        <v>8099</v>
      </c>
      <c r="E2399" s="10" t="str">
        <f>HYPERLINK("https://twitter.com/NoAlExpolio/status/1069980126882996224","1069980126882996224")</f>
        <v>1069980126882996224</v>
      </c>
      <c r="F2399" s="11"/>
      <c r="G2399" s="16" t="s">
        <v>8100</v>
      </c>
      <c r="H2399" s="11"/>
      <c r="I2399" s="12">
        <v>2</v>
      </c>
      <c r="J2399" s="12">
        <v>4</v>
      </c>
      <c r="K2399" s="13" t="str">
        <f>HYPERLINK("https://mobile.twitter.com","Twitter Lite")</f>
        <v>Twitter Lite</v>
      </c>
      <c r="L2399" s="12">
        <v>365</v>
      </c>
      <c r="M2399" s="12">
        <v>504</v>
      </c>
      <c r="N2399" s="12">
        <v>2</v>
      </c>
      <c r="O2399" s="14"/>
      <c r="P2399" s="6">
        <v>42941.022824074069</v>
      </c>
      <c r="Q2399" s="11"/>
      <c r="R2399" s="17" t="s">
        <v>2244</v>
      </c>
      <c r="S2399" s="11"/>
      <c r="T2399" s="11"/>
      <c r="U2399" s="10" t="str">
        <f>HYPERLINK("https://pbs.twimg.com/profile_images/998018196962623488/o0byUEEw.jpg","View")</f>
        <v>View</v>
      </c>
    </row>
    <row r="2400" spans="1:21" ht="20.399999999999999">
      <c r="A2400" s="6">
        <v>43438.695752314816</v>
      </c>
      <c r="B2400" s="7" t="str">
        <f>HYPERLINK("https://twitter.com/DavidLaso","@DavidLaso")</f>
        <v>@DavidLaso</v>
      </c>
      <c r="C2400" s="8" t="s">
        <v>8101</v>
      </c>
      <c r="D2400" s="9" t="s">
        <v>8102</v>
      </c>
      <c r="E2400" s="10" t="str">
        <f>HYPERLINK("https://twitter.com/DavidLaso/status/1069980116355375104","1069980116355375104")</f>
        <v>1069980116355375104</v>
      </c>
      <c r="F2400" s="11"/>
      <c r="G2400" s="11"/>
      <c r="H2400" s="11"/>
      <c r="I2400" s="12">
        <v>0</v>
      </c>
      <c r="J2400" s="12">
        <v>0</v>
      </c>
      <c r="K2400" s="13" t="str">
        <f t="shared" ref="K2400:K2403" si="546">HYPERLINK("http://twitter.com/download/android","Twitter for Android")</f>
        <v>Twitter for Android</v>
      </c>
      <c r="L2400" s="12">
        <v>850</v>
      </c>
      <c r="M2400" s="12">
        <v>2178</v>
      </c>
      <c r="N2400" s="12">
        <v>40</v>
      </c>
      <c r="O2400" s="14"/>
      <c r="P2400" s="6">
        <v>39926.916041666671</v>
      </c>
      <c r="Q2400" s="15" t="s">
        <v>8103</v>
      </c>
      <c r="R2400" s="17" t="s">
        <v>8104</v>
      </c>
      <c r="S2400" s="16" t="s">
        <v>8105</v>
      </c>
      <c r="T2400" s="11"/>
      <c r="U2400" s="10" t="str">
        <f>HYPERLINK("https://pbs.twimg.com/profile_images/1070424939449192448/YcE27IdM.jpg","View")</f>
        <v>View</v>
      </c>
    </row>
    <row r="2401" spans="1:21" ht="13.2">
      <c r="A2401" s="6">
        <v>43438.692037037035</v>
      </c>
      <c r="B2401" s="7" t="str">
        <f>HYPERLINK("https://twitter.com/mimukas","@mimukas")</f>
        <v>@mimukas</v>
      </c>
      <c r="C2401" s="8" t="s">
        <v>1543</v>
      </c>
      <c r="D2401" s="9" t="s">
        <v>8106</v>
      </c>
      <c r="E2401" s="10" t="str">
        <f>HYPERLINK("https://twitter.com/mimukas/status/1069978770235420672","1069978770235420672")</f>
        <v>1069978770235420672</v>
      </c>
      <c r="F2401" s="16" t="s">
        <v>1568</v>
      </c>
      <c r="G2401" s="11"/>
      <c r="H2401" s="11"/>
      <c r="I2401" s="12">
        <v>0</v>
      </c>
      <c r="J2401" s="12">
        <v>0</v>
      </c>
      <c r="K2401" s="13" t="str">
        <f t="shared" si="546"/>
        <v>Twitter for Android</v>
      </c>
      <c r="L2401" s="12">
        <v>342</v>
      </c>
      <c r="M2401" s="12">
        <v>1364</v>
      </c>
      <c r="N2401" s="12">
        <v>3</v>
      </c>
      <c r="O2401" s="14"/>
      <c r="P2401" s="6">
        <v>40434.797349537039</v>
      </c>
      <c r="Q2401" s="11"/>
      <c r="R2401" s="17" t="s">
        <v>8107</v>
      </c>
      <c r="S2401" s="11"/>
      <c r="T2401" s="11"/>
      <c r="U2401" s="10" t="str">
        <f>HYPERLINK("https://pbs.twimg.com/profile_images/1063552596298866690/p0osUYsG.jpg","View")</f>
        <v>View</v>
      </c>
    </row>
    <row r="2402" spans="1:21" ht="20.399999999999999">
      <c r="A2402" s="6">
        <v>43438.690011574072</v>
      </c>
      <c r="B2402" s="7" t="str">
        <f>HYPERLINK("https://twitter.com/junderr","@junderr")</f>
        <v>@junderr</v>
      </c>
      <c r="C2402" s="8" t="s">
        <v>8108</v>
      </c>
      <c r="D2402" s="9" t="s">
        <v>8109</v>
      </c>
      <c r="E2402" s="10" t="str">
        <f>HYPERLINK("https://twitter.com/junderr/status/1069978034193788928","1069978034193788928")</f>
        <v>1069978034193788928</v>
      </c>
      <c r="F2402" s="11"/>
      <c r="G2402" s="11"/>
      <c r="H2402" s="11"/>
      <c r="I2402" s="12">
        <v>0</v>
      </c>
      <c r="J2402" s="12">
        <v>2</v>
      </c>
      <c r="K2402" s="13" t="str">
        <f t="shared" si="546"/>
        <v>Twitter for Android</v>
      </c>
      <c r="L2402" s="12">
        <v>725</v>
      </c>
      <c r="M2402" s="12">
        <v>675</v>
      </c>
      <c r="N2402" s="12">
        <v>25</v>
      </c>
      <c r="O2402" s="14"/>
      <c r="P2402" s="6">
        <v>40408.471574074072</v>
      </c>
      <c r="Q2402" s="15" t="s">
        <v>8110</v>
      </c>
      <c r="R2402" s="17" t="s">
        <v>8111</v>
      </c>
      <c r="S2402" s="16" t="s">
        <v>8112</v>
      </c>
      <c r="T2402" s="11"/>
      <c r="U2402" s="10" t="str">
        <f>HYPERLINK("https://pbs.twimg.com/profile_images/1062264511313465344/K1kcD_Ql.jpg","View")</f>
        <v>View</v>
      </c>
    </row>
    <row r="2403" spans="1:21" ht="61.2">
      <c r="A2403" s="6">
        <v>43438.689664351856</v>
      </c>
      <c r="B2403" s="7" t="str">
        <f>HYPERLINK("https://twitter.com/AdrianKutcher","@AdrianKutcher")</f>
        <v>@AdrianKutcher</v>
      </c>
      <c r="C2403" s="8" t="s">
        <v>8113</v>
      </c>
      <c r="D2403" s="9" t="s">
        <v>8114</v>
      </c>
      <c r="E2403" s="10" t="str">
        <f>HYPERLINK("https://twitter.com/AdrianKutcher/status/1069977908251381760","1069977908251381760")</f>
        <v>1069977908251381760</v>
      </c>
      <c r="F2403" s="16" t="s">
        <v>8115</v>
      </c>
      <c r="G2403" s="16" t="s">
        <v>8116</v>
      </c>
      <c r="H2403" s="11"/>
      <c r="I2403" s="12">
        <v>0</v>
      </c>
      <c r="J2403" s="12">
        <v>2</v>
      </c>
      <c r="K2403" s="13" t="str">
        <f t="shared" si="546"/>
        <v>Twitter for Android</v>
      </c>
      <c r="L2403" s="12">
        <v>447</v>
      </c>
      <c r="M2403" s="12">
        <v>1303</v>
      </c>
      <c r="N2403" s="12">
        <v>5</v>
      </c>
      <c r="O2403" s="14"/>
      <c r="P2403" s="6">
        <v>40077.625023148146</v>
      </c>
      <c r="Q2403" s="15" t="s">
        <v>8117</v>
      </c>
      <c r="R2403" s="18"/>
      <c r="S2403" s="11"/>
      <c r="T2403" s="11"/>
      <c r="U2403" s="10" t="str">
        <f>HYPERLINK("https://pbs.twimg.com/profile_images/1062014477141504000/NAOTNhxq.jpg","View")</f>
        <v>View</v>
      </c>
    </row>
    <row r="2404" spans="1:21" ht="30.6">
      <c r="A2404" s="6">
        <v>43438.689583333333</v>
      </c>
      <c r="B2404" s="7" t="str">
        <f>HYPERLINK("https://twitter.com/AntonnitoGalv","@AntonnitoGalv")</f>
        <v>@AntonnitoGalv</v>
      </c>
      <c r="C2404" s="8" t="s">
        <v>8118</v>
      </c>
      <c r="D2404" s="9" t="s">
        <v>8119</v>
      </c>
      <c r="E2404" s="10" t="str">
        <f>HYPERLINK("https://twitter.com/AntonnitoGalv/status/1069977881575649282","1069977881575649282")</f>
        <v>1069977881575649282</v>
      </c>
      <c r="F2404" s="15" t="s">
        <v>7962</v>
      </c>
      <c r="G2404" s="11"/>
      <c r="H2404" s="11"/>
      <c r="I2404" s="12">
        <v>3</v>
      </c>
      <c r="J2404" s="12">
        <v>4</v>
      </c>
      <c r="K2404" s="13" t="str">
        <f>HYPERLINK("http://twitter.com/download/iphone","Twitter for iPhone")</f>
        <v>Twitter for iPhone</v>
      </c>
      <c r="L2404" s="12">
        <v>318</v>
      </c>
      <c r="M2404" s="12">
        <v>298</v>
      </c>
      <c r="N2404" s="12">
        <v>6</v>
      </c>
      <c r="O2404" s="14"/>
      <c r="P2404" s="6">
        <v>40962.788900462961</v>
      </c>
      <c r="Q2404" s="15" t="s">
        <v>8120</v>
      </c>
      <c r="R2404" s="17" t="s">
        <v>8121</v>
      </c>
      <c r="S2404" s="11"/>
      <c r="T2404" s="11"/>
      <c r="U2404" s="10" t="str">
        <f>HYPERLINK("https://pbs.twimg.com/profile_images/811566791289925632/lvSLnGIx.jpg","View")</f>
        <v>View</v>
      </c>
    </row>
    <row r="2405" spans="1:21" ht="30.6">
      <c r="A2405" s="6">
        <v>43438.688981481479</v>
      </c>
      <c r="B2405" s="7" t="str">
        <f>HYPERLINK("https://twitter.com/unculemadrid","@unculemadrid")</f>
        <v>@unculemadrid</v>
      </c>
      <c r="C2405" s="8" t="s">
        <v>8122</v>
      </c>
      <c r="D2405" s="9" t="s">
        <v>8123</v>
      </c>
      <c r="E2405" s="10" t="str">
        <f>HYPERLINK("https://twitter.com/unculemadrid/status/1069977662972674054","1069977662972674054")</f>
        <v>1069977662972674054</v>
      </c>
      <c r="F2405" s="16" t="s">
        <v>8124</v>
      </c>
      <c r="G2405" s="11"/>
      <c r="H2405" s="11"/>
      <c r="I2405" s="12">
        <v>4</v>
      </c>
      <c r="J2405" s="12">
        <v>8</v>
      </c>
      <c r="K2405" s="13" t="str">
        <f t="shared" ref="K2405:K2406" si="547">HYPERLINK("http://twitter.com","Twitter Web Client")</f>
        <v>Twitter Web Client</v>
      </c>
      <c r="L2405" s="12">
        <v>1376</v>
      </c>
      <c r="M2405" s="12">
        <v>2203</v>
      </c>
      <c r="N2405" s="12">
        <v>38</v>
      </c>
      <c r="O2405" s="14"/>
      <c r="P2405" s="6">
        <v>41738.774988425925</v>
      </c>
      <c r="Q2405" s="11"/>
      <c r="R2405" s="17" t="s">
        <v>8125</v>
      </c>
      <c r="S2405" s="11"/>
      <c r="T2405" s="11"/>
      <c r="U2405" s="10" t="str">
        <f>HYPERLINK("https://pbs.twimg.com/profile_images/1043931878640750594/-WeAdMQH.jpg","View")</f>
        <v>View</v>
      </c>
    </row>
    <row r="2406" spans="1:21" ht="30.6">
      <c r="A2406" s="6">
        <v>43438.687118055561</v>
      </c>
      <c r="B2406" s="7" t="str">
        <f>HYPERLINK("https://twitter.com/Ilovepisto","@Ilovepisto")</f>
        <v>@Ilovepisto</v>
      </c>
      <c r="C2406" s="8" t="s">
        <v>8126</v>
      </c>
      <c r="D2406" s="9" t="s">
        <v>8127</v>
      </c>
      <c r="E2406" s="10" t="str">
        <f>HYPERLINK("https://twitter.com/Ilovepisto/status/1069976987522002949","1069976987522002949")</f>
        <v>1069976987522002949</v>
      </c>
      <c r="F2406" s="11"/>
      <c r="G2406" s="11"/>
      <c r="H2406" s="11"/>
      <c r="I2406" s="12">
        <v>0</v>
      </c>
      <c r="J2406" s="12">
        <v>1</v>
      </c>
      <c r="K2406" s="13" t="str">
        <f t="shared" si="547"/>
        <v>Twitter Web Client</v>
      </c>
      <c r="L2406" s="12">
        <v>28</v>
      </c>
      <c r="M2406" s="12">
        <v>44</v>
      </c>
      <c r="N2406" s="12">
        <v>0</v>
      </c>
      <c r="O2406" s="14"/>
      <c r="P2406" s="6">
        <v>43264.746979166666</v>
      </c>
      <c r="Q2406" s="15" t="s">
        <v>157</v>
      </c>
      <c r="R2406" s="17" t="s">
        <v>8128</v>
      </c>
      <c r="S2406" s="11"/>
      <c r="T2406" s="11"/>
      <c r="U2406" s="10" t="str">
        <f>HYPERLINK("https://pbs.twimg.com/profile_images/1071158219211505665/MSBEWUSk.jpg","View")</f>
        <v>View</v>
      </c>
    </row>
    <row r="2407" spans="1:21" ht="61.2">
      <c r="A2407" s="6">
        <v>43438.686215277776</v>
      </c>
      <c r="B2407" s="7" t="str">
        <f>HYPERLINK("https://twitter.com/UlisesGamez10","@UlisesGamez10")</f>
        <v>@UlisesGamez10</v>
      </c>
      <c r="C2407" s="8" t="s">
        <v>233</v>
      </c>
      <c r="D2407" s="9" t="s">
        <v>8129</v>
      </c>
      <c r="E2407" s="10" t="str">
        <f>HYPERLINK("https://twitter.com/UlisesGamez10/status/1069976660223672322","1069976660223672322")</f>
        <v>1069976660223672322</v>
      </c>
      <c r="F2407" s="11"/>
      <c r="G2407" s="11"/>
      <c r="H2407" s="11"/>
      <c r="I2407" s="12">
        <v>0</v>
      </c>
      <c r="J2407" s="12">
        <v>0</v>
      </c>
      <c r="K2407" s="13" t="str">
        <f>HYPERLINK("http://twitter.com/download/android","Twitter for Android")</f>
        <v>Twitter for Android</v>
      </c>
      <c r="L2407" s="12">
        <v>1184</v>
      </c>
      <c r="M2407" s="12">
        <v>5002</v>
      </c>
      <c r="N2407" s="12">
        <v>0</v>
      </c>
      <c r="O2407" s="14"/>
      <c r="P2407" s="6">
        <v>43190.59783564815</v>
      </c>
      <c r="Q2407" s="15" t="s">
        <v>236</v>
      </c>
      <c r="R2407" s="17" t="s">
        <v>237</v>
      </c>
      <c r="S2407" s="11"/>
      <c r="T2407" s="11"/>
      <c r="U2407" s="10" t="str">
        <f>HYPERLINK("https://pbs.twimg.com/profile_images/1068881444196499456/MCgxp2WR.jpg","View")</f>
        <v>View</v>
      </c>
    </row>
    <row r="2408" spans="1:21" ht="81.599999999999994">
      <c r="A2408" s="6">
        <v>43438.685555555552</v>
      </c>
      <c r="B2408" s="7" t="str">
        <f>HYPERLINK("https://twitter.com/BelnMoro2","@BelnMoro2")</f>
        <v>@BelnMoro2</v>
      </c>
      <c r="C2408" s="8" t="s">
        <v>8085</v>
      </c>
      <c r="D2408" s="9" t="s">
        <v>8130</v>
      </c>
      <c r="E2408" s="10" t="str">
        <f>HYPERLINK("https://twitter.com/BelnMoro2/status/1069976418501705735","1069976418501705735")</f>
        <v>1069976418501705735</v>
      </c>
      <c r="F2408" s="15" t="s">
        <v>8131</v>
      </c>
      <c r="G2408" s="11"/>
      <c r="H2408" s="11"/>
      <c r="I2408" s="12">
        <v>0</v>
      </c>
      <c r="J2408" s="12">
        <v>0</v>
      </c>
      <c r="K2408" s="13" t="str">
        <f>HYPERLINK("https://mobile.twitter.com","Twitter Lite")</f>
        <v>Twitter Lite</v>
      </c>
      <c r="L2408" s="12">
        <v>32</v>
      </c>
      <c r="M2408" s="12">
        <v>219</v>
      </c>
      <c r="N2408" s="12">
        <v>0</v>
      </c>
      <c r="O2408" s="14"/>
      <c r="P2408" s="6">
        <v>43370.391921296294</v>
      </c>
      <c r="Q2408" s="11"/>
      <c r="R2408" s="17" t="s">
        <v>8088</v>
      </c>
      <c r="S2408" s="16" t="s">
        <v>8089</v>
      </c>
      <c r="T2408" s="11"/>
      <c r="U2408" s="10" t="str">
        <f>HYPERLINK("https://pbs.twimg.com/profile_images/1047006467205816320/LIeL-lKv.jpg","View")</f>
        <v>View</v>
      </c>
    </row>
    <row r="2409" spans="1:21" ht="30.6">
      <c r="A2409" s="6">
        <v>43438.684513888889</v>
      </c>
      <c r="B2409" s="7" t="str">
        <f>HYPERLINK("https://twitter.com/ENGINEER_28","@ENGINEER_28")</f>
        <v>@ENGINEER_28</v>
      </c>
      <c r="C2409" s="8" t="s">
        <v>8132</v>
      </c>
      <c r="D2409" s="9" t="s">
        <v>8133</v>
      </c>
      <c r="E2409" s="10" t="str">
        <f>HYPERLINK("https://twitter.com/ENGINEER_28/status/1069976041861599232","1069976041861599232")</f>
        <v>1069976041861599232</v>
      </c>
      <c r="F2409" s="11"/>
      <c r="G2409" s="11"/>
      <c r="H2409" s="11"/>
      <c r="I2409" s="12">
        <v>3</v>
      </c>
      <c r="J2409" s="12">
        <v>13</v>
      </c>
      <c r="K2409" s="13" t="str">
        <f>HYPERLINK("http://twitter.com/download/iphone","Twitter for iPhone")</f>
        <v>Twitter for iPhone</v>
      </c>
      <c r="L2409" s="12">
        <v>5859</v>
      </c>
      <c r="M2409" s="12">
        <v>2752</v>
      </c>
      <c r="N2409" s="12">
        <v>86</v>
      </c>
      <c r="O2409" s="14"/>
      <c r="P2409" s="6">
        <v>40271.588877314818</v>
      </c>
      <c r="Q2409" s="11"/>
      <c r="R2409" s="17" t="s">
        <v>8134</v>
      </c>
      <c r="S2409" s="11"/>
      <c r="T2409" s="11"/>
      <c r="U2409" s="10" t="str">
        <f>HYPERLINK("https://pbs.twimg.com/profile_images/1069171213396787201/PFW_igss.jpg","View")</f>
        <v>View</v>
      </c>
    </row>
    <row r="2410" spans="1:21" ht="40.799999999999997">
      <c r="A2410" s="6">
        <v>43438.683425925927</v>
      </c>
      <c r="B2410" s="7" t="str">
        <f>HYPERLINK("https://twitter.com/BobAndrs","@BobAndrs")</f>
        <v>@BobAndrs</v>
      </c>
      <c r="C2410" s="8" t="s">
        <v>8135</v>
      </c>
      <c r="D2410" s="9" t="s">
        <v>8136</v>
      </c>
      <c r="E2410" s="10" t="str">
        <f>HYPERLINK("https://twitter.com/BobAndrs/status/1069975646758207488","1069975646758207488")</f>
        <v>1069975646758207488</v>
      </c>
      <c r="F2410" s="16" t="s">
        <v>8137</v>
      </c>
      <c r="G2410" s="11"/>
      <c r="H2410" s="11"/>
      <c r="I2410" s="12">
        <v>0</v>
      </c>
      <c r="J2410" s="12">
        <v>0</v>
      </c>
      <c r="K2410" s="13" t="str">
        <f>HYPERLINK("http://twitter.com","Twitter Web Client")</f>
        <v>Twitter Web Client</v>
      </c>
      <c r="L2410" s="12">
        <v>407</v>
      </c>
      <c r="M2410" s="12">
        <v>816</v>
      </c>
      <c r="N2410" s="12">
        <v>1</v>
      </c>
      <c r="O2410" s="14"/>
      <c r="P2410" s="6">
        <v>40927.39334490741</v>
      </c>
      <c r="Q2410" s="15" t="s">
        <v>56</v>
      </c>
      <c r="R2410" s="17" t="s">
        <v>8138</v>
      </c>
      <c r="S2410" s="11"/>
      <c r="T2410" s="11"/>
      <c r="U2410" s="10" t="str">
        <f>HYPERLINK("https://pbs.twimg.com/profile_images/977105849041739776/V5oDU39m.jpg","View")</f>
        <v>View</v>
      </c>
    </row>
    <row r="2411" spans="1:21" ht="51">
      <c r="A2411" s="6">
        <v>43438.679074074069</v>
      </c>
      <c r="B2411" s="7" t="str">
        <f>HYPERLINK("https://twitter.com/jorivela","@jorivela")</f>
        <v>@jorivela</v>
      </c>
      <c r="C2411" s="8" t="s">
        <v>4902</v>
      </c>
      <c r="D2411" s="9" t="s">
        <v>8139</v>
      </c>
      <c r="E2411" s="10" t="str">
        <f>HYPERLINK("https://twitter.com/jorivela/status/1069974072812060672","1069974072812060672")</f>
        <v>1069974072812060672</v>
      </c>
      <c r="F2411" s="16" t="s">
        <v>1568</v>
      </c>
      <c r="G2411" s="11"/>
      <c r="H2411" s="11"/>
      <c r="I2411" s="12">
        <v>7</v>
      </c>
      <c r="J2411" s="12">
        <v>4</v>
      </c>
      <c r="K2411" s="13" t="str">
        <f>HYPERLINK("http://twitter.com/#!/download/ipad","Twitter for iPad")</f>
        <v>Twitter for iPad</v>
      </c>
      <c r="L2411" s="12">
        <v>7238</v>
      </c>
      <c r="M2411" s="12">
        <v>7703</v>
      </c>
      <c r="N2411" s="12">
        <v>65</v>
      </c>
      <c r="O2411" s="14"/>
      <c r="P2411" s="6">
        <v>40427.002037037033</v>
      </c>
      <c r="Q2411" s="15" t="s">
        <v>426</v>
      </c>
      <c r="R2411" s="17" t="s">
        <v>4905</v>
      </c>
      <c r="S2411" s="16" t="s">
        <v>4906</v>
      </c>
      <c r="T2411" s="11"/>
      <c r="U2411" s="10" t="str">
        <f>HYPERLINK("https://pbs.twimg.com/profile_images/1664359882/dibujo_de_grecia.jpg","View")</f>
        <v>View</v>
      </c>
    </row>
    <row r="2412" spans="1:21" ht="61.2">
      <c r="A2412" s="6">
        <v>43438.676759259259</v>
      </c>
      <c r="B2412" s="7" t="str">
        <f>HYPERLINK("https://twitter.com/Ana_la_antipopu","@Ana_la_antipopu")</f>
        <v>@Ana_la_antipopu</v>
      </c>
      <c r="C2412" s="8" t="s">
        <v>1136</v>
      </c>
      <c r="D2412" s="9" t="s">
        <v>8140</v>
      </c>
      <c r="E2412" s="10" t="str">
        <f>HYPERLINK("https://twitter.com/Ana_la_antipopu/status/1069973232260927489","1069973232260927489")</f>
        <v>1069973232260927489</v>
      </c>
      <c r="F2412" s="16" t="s">
        <v>8141</v>
      </c>
      <c r="G2412" s="11"/>
      <c r="H2412" s="11"/>
      <c r="I2412" s="12">
        <v>0</v>
      </c>
      <c r="J2412" s="12">
        <v>0</v>
      </c>
      <c r="K2412" s="13" t="str">
        <f>HYPERLINK("http://twitter.com","Twitter Web Client")</f>
        <v>Twitter Web Client</v>
      </c>
      <c r="L2412" s="12">
        <v>87</v>
      </c>
      <c r="M2412" s="12">
        <v>235</v>
      </c>
      <c r="N2412" s="12">
        <v>1</v>
      </c>
      <c r="O2412" s="14"/>
      <c r="P2412" s="6">
        <v>42685.810752314814</v>
      </c>
      <c r="Q2412" s="11"/>
      <c r="R2412" s="18"/>
      <c r="S2412" s="11"/>
      <c r="T2412" s="11"/>
      <c r="U2412" s="10" t="str">
        <f>HYPERLINK("https://pbs.twimg.com/profile_images/1040529637112201217/rHhf1G5C.jpg","View")</f>
        <v>View</v>
      </c>
    </row>
    <row r="2413" spans="1:21" ht="51">
      <c r="A2413" s="6">
        <v>43438.673784722225</v>
      </c>
      <c r="B2413" s="7" t="str">
        <f>HYPERLINK("https://twitter.com/cuestavalondo","@cuestavalondo")</f>
        <v>@cuestavalondo</v>
      </c>
      <c r="C2413" s="8" t="s">
        <v>8142</v>
      </c>
      <c r="D2413" s="9" t="s">
        <v>8143</v>
      </c>
      <c r="E2413" s="10" t="str">
        <f>HYPERLINK("https://twitter.com/cuestavalondo/status/1069972156157714432","1069972156157714432")</f>
        <v>1069972156157714432</v>
      </c>
      <c r="F2413" s="11"/>
      <c r="G2413" s="11"/>
      <c r="H2413" s="11"/>
      <c r="I2413" s="12">
        <v>0</v>
      </c>
      <c r="J2413" s="12">
        <v>1</v>
      </c>
      <c r="K2413" s="13" t="str">
        <f t="shared" ref="K2413:K2416" si="548">HYPERLINK("http://twitter.com/download/android","Twitter for Android")</f>
        <v>Twitter for Android</v>
      </c>
      <c r="L2413" s="12">
        <v>18</v>
      </c>
      <c r="M2413" s="12">
        <v>91</v>
      </c>
      <c r="N2413" s="12">
        <v>0</v>
      </c>
      <c r="O2413" s="14"/>
      <c r="P2413" s="6">
        <v>43040.916747685187</v>
      </c>
      <c r="Q2413" s="11"/>
      <c r="R2413" s="17" t="s">
        <v>8144</v>
      </c>
      <c r="S2413" s="11"/>
      <c r="T2413" s="11"/>
      <c r="U2413" s="10" t="str">
        <f>HYPERLINK("https://pbs.twimg.com/profile_images/927659717396180992/vBxGEivj.jpg","View")</f>
        <v>View</v>
      </c>
    </row>
    <row r="2414" spans="1:21" ht="81.599999999999994">
      <c r="A2414" s="6">
        <v>43438.672893518524</v>
      </c>
      <c r="B2414" s="7" t="str">
        <f>HYPERLINK("https://twitter.com/eguskialde369","@eguskialde369")</f>
        <v>@eguskialde369</v>
      </c>
      <c r="C2414" s="8" t="s">
        <v>5014</v>
      </c>
      <c r="D2414" s="9" t="s">
        <v>8145</v>
      </c>
      <c r="E2414" s="10" t="str">
        <f>HYPERLINK("https://twitter.com/eguskialde369/status/1069971833548611584","1069971833548611584")</f>
        <v>1069971833548611584</v>
      </c>
      <c r="F2414" s="16" t="s">
        <v>8146</v>
      </c>
      <c r="G2414" s="16" t="s">
        <v>8147</v>
      </c>
      <c r="H2414" s="11"/>
      <c r="I2414" s="12">
        <v>1</v>
      </c>
      <c r="J2414" s="12">
        <v>1</v>
      </c>
      <c r="K2414" s="13" t="str">
        <f t="shared" si="548"/>
        <v>Twitter for Android</v>
      </c>
      <c r="L2414" s="12">
        <v>1067</v>
      </c>
      <c r="M2414" s="12">
        <v>989</v>
      </c>
      <c r="N2414" s="12">
        <v>20</v>
      </c>
      <c r="O2414" s="14"/>
      <c r="P2414" s="6">
        <v>41442.00849537037</v>
      </c>
      <c r="Q2414" s="11"/>
      <c r="R2414" s="17" t="s">
        <v>5016</v>
      </c>
      <c r="S2414" s="11"/>
      <c r="T2414" s="11"/>
      <c r="U2414" s="10" t="str">
        <f>HYPERLINK("https://pbs.twimg.com/profile_images/1060767567105552384/wdHOLC0t.jpg","View")</f>
        <v>View</v>
      </c>
    </row>
    <row r="2415" spans="1:21" ht="40.799999999999997">
      <c r="A2415" s="6">
        <v>43438.672222222223</v>
      </c>
      <c r="B2415" s="7" t="str">
        <f>HYPERLINK("https://twitter.com/Inquebrantble","@Inquebrantble")</f>
        <v>@Inquebrantble</v>
      </c>
      <c r="C2415" s="8" t="s">
        <v>8148</v>
      </c>
      <c r="D2415" s="9" t="s">
        <v>8149</v>
      </c>
      <c r="E2415" s="10" t="str">
        <f>HYPERLINK("https://twitter.com/Inquebrantble/status/1069971588144078849","1069971588144078849")</f>
        <v>1069971588144078849</v>
      </c>
      <c r="F2415" s="16" t="s">
        <v>1568</v>
      </c>
      <c r="G2415" s="11"/>
      <c r="H2415" s="11"/>
      <c r="I2415" s="12">
        <v>0</v>
      </c>
      <c r="J2415" s="12">
        <v>0</v>
      </c>
      <c r="K2415" s="13" t="str">
        <f t="shared" si="548"/>
        <v>Twitter for Android</v>
      </c>
      <c r="L2415" s="12">
        <v>4</v>
      </c>
      <c r="M2415" s="12">
        <v>92</v>
      </c>
      <c r="N2415" s="12">
        <v>0</v>
      </c>
      <c r="O2415" s="14"/>
      <c r="P2415" s="6">
        <v>43206.633773148147</v>
      </c>
      <c r="Q2415" s="11"/>
      <c r="R2415" s="18"/>
      <c r="S2415" s="11"/>
      <c r="T2415" s="11"/>
      <c r="U2415" s="23" t="s">
        <v>437</v>
      </c>
    </row>
    <row r="2416" spans="1:21" ht="51">
      <c r="A2416" s="6">
        <v>43438.670682870375</v>
      </c>
      <c r="B2416" s="7" t="str">
        <f>HYPERLINK("https://twitter.com/OneWingedTan","@OneWingedTan")</f>
        <v>@OneWingedTan</v>
      </c>
      <c r="C2416" s="8" t="s">
        <v>8150</v>
      </c>
      <c r="D2416" s="9" t="s">
        <v>8151</v>
      </c>
      <c r="E2416" s="10" t="str">
        <f>HYPERLINK("https://twitter.com/OneWingedTan/status/1069971032499544065","1069971032499544065")</f>
        <v>1069971032499544065</v>
      </c>
      <c r="F2416" s="11"/>
      <c r="G2416" s="11"/>
      <c r="H2416" s="11"/>
      <c r="I2416" s="12">
        <v>0</v>
      </c>
      <c r="J2416" s="12">
        <v>0</v>
      </c>
      <c r="K2416" s="13" t="str">
        <f t="shared" si="548"/>
        <v>Twitter for Android</v>
      </c>
      <c r="L2416" s="12">
        <v>694</v>
      </c>
      <c r="M2416" s="12">
        <v>452</v>
      </c>
      <c r="N2416" s="12">
        <v>18</v>
      </c>
      <c r="O2416" s="14"/>
      <c r="P2416" s="6">
        <v>41455.593530092592</v>
      </c>
      <c r="Q2416" s="15" t="s">
        <v>8152</v>
      </c>
      <c r="R2416" s="17" t="s">
        <v>8153</v>
      </c>
      <c r="S2416" s="16" t="s">
        <v>8154</v>
      </c>
      <c r="T2416" s="11"/>
      <c r="U2416" s="10" t="str">
        <f>HYPERLINK("https://pbs.twimg.com/profile_images/1061828674125811712/6XokqBiF.jpg","View")</f>
        <v>View</v>
      </c>
    </row>
    <row r="2417" spans="1:21" ht="51">
      <c r="A2417" s="6">
        <v>43438.670254629629</v>
      </c>
      <c r="B2417" s="7" t="str">
        <f>HYPERLINK("https://twitter.com/Derek_Catbcn","@Derek_Catbcn")</f>
        <v>@Derek_Catbcn</v>
      </c>
      <c r="C2417" s="8" t="s">
        <v>8090</v>
      </c>
      <c r="D2417" s="9" t="s">
        <v>8155</v>
      </c>
      <c r="E2417" s="10" t="str">
        <f>HYPERLINK("https://twitter.com/Derek_Catbcn/status/1069970873560563712","1069970873560563712")</f>
        <v>1069970873560563712</v>
      </c>
      <c r="F2417" s="11"/>
      <c r="G2417" s="11"/>
      <c r="H2417" s="11"/>
      <c r="I2417" s="12">
        <v>0</v>
      </c>
      <c r="J2417" s="12">
        <v>0</v>
      </c>
      <c r="K2417" s="13" t="str">
        <f>HYPERLINK("https://mobile.twitter.com","Twitter Lite")</f>
        <v>Twitter Lite</v>
      </c>
      <c r="L2417" s="12">
        <v>25</v>
      </c>
      <c r="M2417" s="12">
        <v>65</v>
      </c>
      <c r="N2417" s="12">
        <v>0</v>
      </c>
      <c r="O2417" s="14"/>
      <c r="P2417" s="6">
        <v>43022.91883101852</v>
      </c>
      <c r="Q2417" s="11"/>
      <c r="R2417" s="18"/>
      <c r="S2417" s="11"/>
      <c r="T2417" s="11"/>
      <c r="U2417" s="10" t="str">
        <f>HYPERLINK("https://pbs.twimg.com/profile_images/1057845198431096832/VOwlZW1q.jpg","View")</f>
        <v>View</v>
      </c>
    </row>
    <row r="2418" spans="1:21" ht="81.599999999999994">
      <c r="A2418" s="6">
        <v>43438.668935185182</v>
      </c>
      <c r="B2418" s="7" t="str">
        <f>HYPERLINK("https://twitter.com/liberal_mirada","@liberal_mirada")</f>
        <v>@liberal_mirada</v>
      </c>
      <c r="C2418" s="8" t="s">
        <v>8156</v>
      </c>
      <c r="D2418" s="9" t="s">
        <v>8157</v>
      </c>
      <c r="E2418" s="10" t="str">
        <f>HYPERLINK("https://twitter.com/liberal_mirada/status/1069970397813182469","1069970397813182469")</f>
        <v>1069970397813182469</v>
      </c>
      <c r="F2418" s="16" t="s">
        <v>8158</v>
      </c>
      <c r="G2418" s="16" t="s">
        <v>8159</v>
      </c>
      <c r="H2418" s="11"/>
      <c r="I2418" s="12">
        <v>25</v>
      </c>
      <c r="J2418" s="12">
        <v>34</v>
      </c>
      <c r="K2418" s="13" t="str">
        <f>HYPERLINK("http://twitter.com/download/android","Twitter for Android")</f>
        <v>Twitter for Android</v>
      </c>
      <c r="L2418" s="12">
        <v>10636</v>
      </c>
      <c r="M2418" s="12">
        <v>3866</v>
      </c>
      <c r="N2418" s="12">
        <v>49</v>
      </c>
      <c r="O2418" s="14"/>
      <c r="P2418" s="6">
        <v>42430.315243055556</v>
      </c>
      <c r="Q2418" s="11"/>
      <c r="R2418" s="17" t="s">
        <v>8160</v>
      </c>
      <c r="S2418" s="11"/>
      <c r="T2418" s="11"/>
      <c r="U2418" s="10" t="str">
        <f>HYPERLINK("https://pbs.twimg.com/profile_images/957205300070768641/5U6m0RMn.jpg","View")</f>
        <v>View</v>
      </c>
    </row>
    <row r="2419" spans="1:21" ht="51">
      <c r="A2419" s="6">
        <v>43438.668842592597</v>
      </c>
      <c r="B2419" s="7" t="str">
        <f>HYPERLINK("https://twitter.com/entierradigna","@entierradigna")</f>
        <v>@entierradigna</v>
      </c>
      <c r="C2419" s="8" t="s">
        <v>8161</v>
      </c>
      <c r="D2419" s="9" t="s">
        <v>8162</v>
      </c>
      <c r="E2419" s="10" t="str">
        <f>HYPERLINK("https://twitter.com/entierradigna/status/1069970364447506432","1069970364447506432")</f>
        <v>1069970364447506432</v>
      </c>
      <c r="F2419" s="16" t="s">
        <v>8163</v>
      </c>
      <c r="G2419" s="16" t="s">
        <v>8164</v>
      </c>
      <c r="H2419" s="11"/>
      <c r="I2419" s="12">
        <v>0</v>
      </c>
      <c r="J2419" s="12">
        <v>0</v>
      </c>
      <c r="K2419" s="13" t="str">
        <f>HYPERLINK("http://twitter.com","Twitter Web Client")</f>
        <v>Twitter Web Client</v>
      </c>
      <c r="L2419" s="12">
        <v>2157</v>
      </c>
      <c r="M2419" s="12">
        <v>379</v>
      </c>
      <c r="N2419" s="12">
        <v>20</v>
      </c>
      <c r="O2419" s="14"/>
      <c r="P2419" s="6">
        <v>42076.907060185185</v>
      </c>
      <c r="Q2419" s="11"/>
      <c r="R2419" s="17" t="s">
        <v>8165</v>
      </c>
      <c r="S2419" s="11"/>
      <c r="T2419" s="11"/>
      <c r="U2419" s="10" t="str">
        <f>HYPERLINK("https://pbs.twimg.com/profile_images/1066796656648163331/gXGc48jg.jpg","View")</f>
        <v>View</v>
      </c>
    </row>
    <row r="2420" spans="1:21" ht="51">
      <c r="A2420" s="6">
        <v>43438.66805555555</v>
      </c>
      <c r="B2420" s="7" t="str">
        <f t="shared" ref="B2420:B2421" si="549">HYPERLINK("https://twitter.com/bitMomentum","@bitMomentum")</f>
        <v>@bitMomentum</v>
      </c>
      <c r="C2420" s="8" t="s">
        <v>82</v>
      </c>
      <c r="D2420" s="9" t="s">
        <v>8166</v>
      </c>
      <c r="E2420" s="10" t="str">
        <f>HYPERLINK("https://twitter.com/bitMomentum/status/1069970077305503749","1069970077305503749")</f>
        <v>1069970077305503749</v>
      </c>
      <c r="F2420" s="11"/>
      <c r="G2420" s="11"/>
      <c r="H2420" s="11"/>
      <c r="I2420" s="12">
        <v>0</v>
      </c>
      <c r="J2420" s="12">
        <v>0</v>
      </c>
      <c r="K2420" s="13" t="str">
        <f t="shared" ref="K2420:K2421" si="550">HYPERLINK("http://www.bitmomentum.com","bitMomentum Bot")</f>
        <v>bitMomentum Bot</v>
      </c>
      <c r="L2420" s="12">
        <v>10253</v>
      </c>
      <c r="M2420" s="12">
        <v>1059</v>
      </c>
      <c r="N2420" s="12">
        <v>263</v>
      </c>
      <c r="O2420" s="14"/>
      <c r="P2420" s="6">
        <v>41608.667511574073</v>
      </c>
      <c r="Q2420" s="11"/>
      <c r="R2420" s="17" t="s">
        <v>84</v>
      </c>
      <c r="S2420" s="16" t="s">
        <v>85</v>
      </c>
      <c r="T2420" s="11"/>
      <c r="U2420" s="10" t="str">
        <f t="shared" ref="U2420:U2421" si="551">HYPERLINK("https://pbs.twimg.com/profile_images/378800000862185241/20ij2H3u.png","View")</f>
        <v>View</v>
      </c>
    </row>
    <row r="2421" spans="1:21" ht="51">
      <c r="A2421" s="6">
        <v>43438.667361111111</v>
      </c>
      <c r="B2421" s="7" t="str">
        <f t="shared" si="549"/>
        <v>@bitMomentum</v>
      </c>
      <c r="C2421" s="8" t="s">
        <v>82</v>
      </c>
      <c r="D2421" s="9" t="s">
        <v>8167</v>
      </c>
      <c r="E2421" s="10" t="str">
        <f>HYPERLINK("https://twitter.com/bitMomentum/status/1069969825622052864","1069969825622052864")</f>
        <v>1069969825622052864</v>
      </c>
      <c r="F2421" s="11"/>
      <c r="G2421" s="11"/>
      <c r="H2421" s="11"/>
      <c r="I2421" s="12">
        <v>0</v>
      </c>
      <c r="J2421" s="12">
        <v>0</v>
      </c>
      <c r="K2421" s="13" t="str">
        <f t="shared" si="550"/>
        <v>bitMomentum Bot</v>
      </c>
      <c r="L2421" s="12">
        <v>10253</v>
      </c>
      <c r="M2421" s="12">
        <v>1059</v>
      </c>
      <c r="N2421" s="12">
        <v>263</v>
      </c>
      <c r="O2421" s="14"/>
      <c r="P2421" s="6">
        <v>41608.667511574073</v>
      </c>
      <c r="Q2421" s="11"/>
      <c r="R2421" s="17" t="s">
        <v>84</v>
      </c>
      <c r="S2421" s="16" t="s">
        <v>85</v>
      </c>
      <c r="T2421" s="11"/>
      <c r="U2421" s="10" t="str">
        <f t="shared" si="551"/>
        <v>View</v>
      </c>
    </row>
    <row r="2422" spans="1:21" ht="71.400000000000006">
      <c r="A2422" s="6">
        <v>43438.665775462963</v>
      </c>
      <c r="B2422" s="7" t="str">
        <f>HYPERLINK("https://twitter.com/BelnMoro2","@BelnMoro2")</f>
        <v>@BelnMoro2</v>
      </c>
      <c r="C2422" s="8" t="s">
        <v>8085</v>
      </c>
      <c r="D2422" s="9" t="s">
        <v>8168</v>
      </c>
      <c r="E2422" s="10" t="str">
        <f>HYPERLINK("https://twitter.com/BelnMoro2/status/1069969250897539072","1069969250897539072")</f>
        <v>1069969250897539072</v>
      </c>
      <c r="F2422" s="15" t="s">
        <v>8169</v>
      </c>
      <c r="G2422" s="16" t="s">
        <v>8170</v>
      </c>
      <c r="H2422" s="11"/>
      <c r="I2422" s="12">
        <v>0</v>
      </c>
      <c r="J2422" s="12">
        <v>0</v>
      </c>
      <c r="K2422" s="13" t="str">
        <f>HYPERLINK("https://mobile.twitter.com","Twitter Lite")</f>
        <v>Twitter Lite</v>
      </c>
      <c r="L2422" s="12">
        <v>32</v>
      </c>
      <c r="M2422" s="12">
        <v>219</v>
      </c>
      <c r="N2422" s="12">
        <v>0</v>
      </c>
      <c r="O2422" s="14"/>
      <c r="P2422" s="6">
        <v>43370.391921296294</v>
      </c>
      <c r="Q2422" s="11"/>
      <c r="R2422" s="17" t="s">
        <v>8088</v>
      </c>
      <c r="S2422" s="16" t="s">
        <v>8089</v>
      </c>
      <c r="T2422" s="11"/>
      <c r="U2422" s="10" t="str">
        <f>HYPERLINK("https://pbs.twimg.com/profile_images/1047006467205816320/LIeL-lKv.jpg","View")</f>
        <v>View</v>
      </c>
    </row>
    <row r="2423" spans="1:21" ht="81.599999999999994">
      <c r="A2423" s="6">
        <v>43438.665196759262</v>
      </c>
      <c r="B2423" s="7" t="str">
        <f>HYPERLINK("https://twitter.com/EdwarFortimagen","@EdwarFortimagen")</f>
        <v>@EdwarFortimagen</v>
      </c>
      <c r="C2423" s="8" t="s">
        <v>8171</v>
      </c>
      <c r="D2423" s="9" t="s">
        <v>8172</v>
      </c>
      <c r="E2423" s="10" t="str">
        <f>HYPERLINK("https://twitter.com/EdwarFortimagen/status/1069969041014603777","1069969041014603777")</f>
        <v>1069969041014603777</v>
      </c>
      <c r="F2423" s="16" t="s">
        <v>8173</v>
      </c>
      <c r="G2423" s="11"/>
      <c r="H2423" s="11"/>
      <c r="I2423" s="12">
        <v>0</v>
      </c>
      <c r="J2423" s="12">
        <v>1</v>
      </c>
      <c r="K2423" s="13" t="str">
        <f>HYPERLINK("http://twitter.com","Twitter Web Client")</f>
        <v>Twitter Web Client</v>
      </c>
      <c r="L2423" s="12">
        <v>131</v>
      </c>
      <c r="M2423" s="12">
        <v>361</v>
      </c>
      <c r="N2423" s="12">
        <v>0</v>
      </c>
      <c r="O2423" s="14"/>
      <c r="P2423" s="6">
        <v>41073.619293981479</v>
      </c>
      <c r="Q2423" s="15" t="s">
        <v>197</v>
      </c>
      <c r="R2423" s="17" t="s">
        <v>8174</v>
      </c>
      <c r="S2423" s="11"/>
      <c r="T2423" s="11"/>
      <c r="U2423" s="10" t="str">
        <f>HYPERLINK("https://pbs.twimg.com/profile_images/984423561476657152/sSZynsV3.jpg","View")</f>
        <v>View</v>
      </c>
    </row>
    <row r="2424" spans="1:21" ht="71.400000000000006">
      <c r="A2424" s="6">
        <v>43438.664953703701</v>
      </c>
      <c r="B2424" s="7" t="str">
        <f>HYPERLINK("https://twitter.com/Nerealiza","@Nerealiza")</f>
        <v>@Nerealiza</v>
      </c>
      <c r="C2424" s="8" t="s">
        <v>8175</v>
      </c>
      <c r="D2424" s="9" t="s">
        <v>8176</v>
      </c>
      <c r="E2424" s="10" t="str">
        <f>HYPERLINK("https://twitter.com/Nerealiza/status/1069968956298063879","1069968956298063879")</f>
        <v>1069968956298063879</v>
      </c>
      <c r="F2424" s="15" t="s">
        <v>5732</v>
      </c>
      <c r="G2424" s="11"/>
      <c r="H2424" s="11"/>
      <c r="I2424" s="12">
        <v>4</v>
      </c>
      <c r="J2424" s="12">
        <v>1</v>
      </c>
      <c r="K2424" s="13" t="str">
        <f t="shared" ref="K2424:K2426" si="552">HYPERLINK("http://twitter.com/download/android","Twitter for Android")</f>
        <v>Twitter for Android</v>
      </c>
      <c r="L2424" s="12">
        <v>2213</v>
      </c>
      <c r="M2424" s="12">
        <v>2531</v>
      </c>
      <c r="N2424" s="12">
        <v>30</v>
      </c>
      <c r="O2424" s="14"/>
      <c r="P2424" s="6">
        <v>40225.54351851852</v>
      </c>
      <c r="Q2424" s="15" t="s">
        <v>56</v>
      </c>
      <c r="R2424" s="17" t="s">
        <v>8177</v>
      </c>
      <c r="S2424" s="11"/>
      <c r="T2424" s="11"/>
      <c r="U2424" s="10" t="str">
        <f>HYPERLINK("https://pbs.twimg.com/profile_images/1039179717323251713/5RV5FLI3.jpg","View")</f>
        <v>View</v>
      </c>
    </row>
    <row r="2425" spans="1:21" ht="20.399999999999999">
      <c r="A2425" s="6">
        <v>43438.664351851854</v>
      </c>
      <c r="B2425" s="7" t="str">
        <f>HYPERLINK("https://twitter.com/MrTatoKFC","@MrTatoKFC")</f>
        <v>@MrTatoKFC</v>
      </c>
      <c r="C2425" s="8" t="s">
        <v>8178</v>
      </c>
      <c r="D2425" s="9" t="s">
        <v>8179</v>
      </c>
      <c r="E2425" s="10" t="str">
        <f>HYPERLINK("https://twitter.com/MrTatoKFC/status/1069968737321787393","1069968737321787393")</f>
        <v>1069968737321787393</v>
      </c>
      <c r="F2425" s="11"/>
      <c r="G2425" s="11"/>
      <c r="H2425" s="11"/>
      <c r="I2425" s="12">
        <v>0</v>
      </c>
      <c r="J2425" s="12">
        <v>0</v>
      </c>
      <c r="K2425" s="13" t="str">
        <f t="shared" si="552"/>
        <v>Twitter for Android</v>
      </c>
      <c r="L2425" s="12">
        <v>210</v>
      </c>
      <c r="M2425" s="12">
        <v>297</v>
      </c>
      <c r="N2425" s="12">
        <v>2</v>
      </c>
      <c r="O2425" s="14"/>
      <c r="P2425" s="6">
        <v>41217.814849537041</v>
      </c>
      <c r="Q2425" s="11"/>
      <c r="R2425" s="17" t="s">
        <v>8180</v>
      </c>
      <c r="S2425" s="16" t="s">
        <v>8181</v>
      </c>
      <c r="T2425" s="11"/>
      <c r="U2425" s="10" t="str">
        <f>HYPERLINK("https://pbs.twimg.com/profile_images/1011991325888180224/vSCOaob6.jpg","View")</f>
        <v>View</v>
      </c>
    </row>
    <row r="2426" spans="1:21" ht="13.2">
      <c r="A2426" s="6">
        <v>43438.663680555561</v>
      </c>
      <c r="B2426" s="7" t="str">
        <f>HYPERLINK("https://twitter.com/Geraldcasas7","@Geraldcasas7")</f>
        <v>@Geraldcasas7</v>
      </c>
      <c r="C2426" s="8" t="s">
        <v>8182</v>
      </c>
      <c r="D2426" s="9" t="s">
        <v>8183</v>
      </c>
      <c r="E2426" s="10" t="str">
        <f>HYPERLINK("https://twitter.com/Geraldcasas7/status/1069968491619459073","1069968491619459073")</f>
        <v>1069968491619459073</v>
      </c>
      <c r="F2426" s="11"/>
      <c r="G2426" s="11"/>
      <c r="H2426" s="11"/>
      <c r="I2426" s="12">
        <v>0</v>
      </c>
      <c r="J2426" s="12">
        <v>0</v>
      </c>
      <c r="K2426" s="13" t="str">
        <f t="shared" si="552"/>
        <v>Twitter for Android</v>
      </c>
      <c r="L2426" s="12">
        <v>816</v>
      </c>
      <c r="M2426" s="12">
        <v>960</v>
      </c>
      <c r="N2426" s="12">
        <v>2</v>
      </c>
      <c r="O2426" s="14"/>
      <c r="P2426" s="6">
        <v>43019.488958333328</v>
      </c>
      <c r="Q2426" s="15" t="s">
        <v>197</v>
      </c>
      <c r="R2426" s="17" t="s">
        <v>8184</v>
      </c>
      <c r="S2426" s="11"/>
      <c r="T2426" s="11"/>
      <c r="U2426" s="10" t="str">
        <f>HYPERLINK("https://pbs.twimg.com/profile_images/1063069369838825472/dAjI0Pq-.jpg","View")</f>
        <v>View</v>
      </c>
    </row>
    <row r="2427" spans="1:21" ht="51">
      <c r="A2427" s="6">
        <v>43438.662986111114</v>
      </c>
      <c r="B2427" s="7" t="str">
        <f>HYPERLINK("https://twitter.com/diariobalear_es","@diariobalear_es")</f>
        <v>@diariobalear_es</v>
      </c>
      <c r="C2427" s="8" t="s">
        <v>2163</v>
      </c>
      <c r="D2427" s="9" t="s">
        <v>8185</v>
      </c>
      <c r="E2427" s="10" t="str">
        <f>HYPERLINK("https://twitter.com/diariobalear_es/status/1069968242503024647","1069968242503024647")</f>
        <v>1069968242503024647</v>
      </c>
      <c r="F2427" s="16" t="s">
        <v>8186</v>
      </c>
      <c r="G2427" s="11"/>
      <c r="H2427" s="11"/>
      <c r="I2427" s="12">
        <v>0</v>
      </c>
      <c r="J2427" s="12">
        <v>0</v>
      </c>
      <c r="K2427" s="13" t="str">
        <f>HYPERLINK("http://twitter.com","Twitter Web Client")</f>
        <v>Twitter Web Client</v>
      </c>
      <c r="L2427" s="12">
        <v>3223</v>
      </c>
      <c r="M2427" s="12">
        <v>347</v>
      </c>
      <c r="N2427" s="12">
        <v>71</v>
      </c>
      <c r="O2427" s="14"/>
      <c r="P2427" s="6">
        <v>41694.754687499997</v>
      </c>
      <c r="Q2427" s="15" t="s">
        <v>2166</v>
      </c>
      <c r="R2427" s="17" t="s">
        <v>2167</v>
      </c>
      <c r="S2427" s="16" t="s">
        <v>2168</v>
      </c>
      <c r="T2427" s="11"/>
      <c r="U2427" s="10" t="str">
        <f>HYPERLINK("https://pbs.twimg.com/profile_images/992417277797597184/28OVRjFF.jpg","View")</f>
        <v>View</v>
      </c>
    </row>
    <row r="2428" spans="1:21" ht="30.6">
      <c r="A2428" s="6">
        <v>43438.66106481482</v>
      </c>
      <c r="B2428" s="7" t="str">
        <f>HYPERLINK("https://twitter.com/OdJordi","@OdJordi")</f>
        <v>@OdJordi</v>
      </c>
      <c r="C2428" s="8" t="s">
        <v>5395</v>
      </c>
      <c r="D2428" s="9" t="s">
        <v>8187</v>
      </c>
      <c r="E2428" s="10" t="str">
        <f>HYPERLINK("https://twitter.com/OdJordi/status/1069967546173087744","1069967546173087744")</f>
        <v>1069967546173087744</v>
      </c>
      <c r="F2428" s="16" t="s">
        <v>132</v>
      </c>
      <c r="G2428" s="11"/>
      <c r="H2428" s="11"/>
      <c r="I2428" s="12">
        <v>0</v>
      </c>
      <c r="J2428" s="12">
        <v>0</v>
      </c>
      <c r="K2428" s="13" t="str">
        <f>HYPERLINK("http://twitter.com/#!/download/ipad","Twitter for iPad")</f>
        <v>Twitter for iPad</v>
      </c>
      <c r="L2428" s="12">
        <v>137</v>
      </c>
      <c r="M2428" s="12">
        <v>349</v>
      </c>
      <c r="N2428" s="12">
        <v>1</v>
      </c>
      <c r="O2428" s="14"/>
      <c r="P2428" s="6">
        <v>43364.784398148149</v>
      </c>
      <c r="Q2428" s="15" t="s">
        <v>5398</v>
      </c>
      <c r="R2428" s="17" t="s">
        <v>5399</v>
      </c>
      <c r="S2428" s="11"/>
      <c r="T2428" s="11"/>
      <c r="U2428" s="10" t="str">
        <f>HYPERLINK("https://pbs.twimg.com/profile_images/1051850895523278848/MJfJWY0y.jpg","View")</f>
        <v>View</v>
      </c>
    </row>
    <row r="2429" spans="1:21" ht="40.799999999999997">
      <c r="A2429" s="6">
        <v>43438.660902777774</v>
      </c>
      <c r="B2429" s="7" t="str">
        <f>HYPERLINK("https://twitter.com/mimeticozelig","@mimeticozelig")</f>
        <v>@mimeticozelig</v>
      </c>
      <c r="C2429" s="8" t="s">
        <v>8188</v>
      </c>
      <c r="D2429" s="9" t="s">
        <v>8189</v>
      </c>
      <c r="E2429" s="10" t="str">
        <f>HYPERLINK("https://twitter.com/mimeticozelig/status/1069967485225586690","1069967485225586690")</f>
        <v>1069967485225586690</v>
      </c>
      <c r="F2429" s="11"/>
      <c r="G2429" s="16" t="s">
        <v>8190</v>
      </c>
      <c r="H2429" s="11"/>
      <c r="I2429" s="12">
        <v>0</v>
      </c>
      <c r="J2429" s="12">
        <v>0</v>
      </c>
      <c r="K2429" s="13" t="str">
        <f t="shared" ref="K2429:K2430" si="553">HYPERLINK("http://twitter.com/download/android","Twitter for Android")</f>
        <v>Twitter for Android</v>
      </c>
      <c r="L2429" s="12">
        <v>577</v>
      </c>
      <c r="M2429" s="12">
        <v>355</v>
      </c>
      <c r="N2429" s="12">
        <v>15</v>
      </c>
      <c r="O2429" s="14"/>
      <c r="P2429" s="6">
        <v>42275.533807870372</v>
      </c>
      <c r="Q2429" s="11"/>
      <c r="R2429" s="17" t="s">
        <v>8191</v>
      </c>
      <c r="S2429" s="11"/>
      <c r="T2429" s="11"/>
      <c r="U2429" s="10" t="str">
        <f>HYPERLINK("https://pbs.twimg.com/profile_images/1032191504729747456/qQGcNX-v.jpg","View")</f>
        <v>View</v>
      </c>
    </row>
    <row r="2430" spans="1:21" ht="51">
      <c r="A2430" s="6">
        <v>43438.659143518518</v>
      </c>
      <c r="B2430" s="7" t="str">
        <f>HYPERLINK("https://twitter.com/juanjo_mellado","@juanjo_mellado")</f>
        <v>@juanjo_mellado</v>
      </c>
      <c r="C2430" s="8" t="s">
        <v>8192</v>
      </c>
      <c r="D2430" s="9" t="s">
        <v>8193</v>
      </c>
      <c r="E2430" s="10" t="str">
        <f>HYPERLINK("https://twitter.com/juanjo_mellado/status/1069966847167131656","1069966847167131656")</f>
        <v>1069966847167131656</v>
      </c>
      <c r="F2430" s="15" t="s">
        <v>8194</v>
      </c>
      <c r="G2430" s="16" t="s">
        <v>8195</v>
      </c>
      <c r="H2430" s="11"/>
      <c r="I2430" s="12">
        <v>0</v>
      </c>
      <c r="J2430" s="12">
        <v>0</v>
      </c>
      <c r="K2430" s="13" t="str">
        <f t="shared" si="553"/>
        <v>Twitter for Android</v>
      </c>
      <c r="L2430" s="12">
        <v>346</v>
      </c>
      <c r="M2430" s="12">
        <v>1822</v>
      </c>
      <c r="N2430" s="12">
        <v>3</v>
      </c>
      <c r="O2430" s="14"/>
      <c r="P2430" s="6">
        <v>42766.06313657407</v>
      </c>
      <c r="Q2430" s="15" t="s">
        <v>157</v>
      </c>
      <c r="R2430" s="17" t="s">
        <v>8196</v>
      </c>
      <c r="S2430" s="16" t="s">
        <v>8197</v>
      </c>
      <c r="T2430" s="11"/>
      <c r="U2430" s="10" t="str">
        <f>HYPERLINK("https://pbs.twimg.com/profile_images/841720087509884928/Ik9R4lrc.jpg","View")</f>
        <v>View</v>
      </c>
    </row>
    <row r="2431" spans="1:21" ht="40.799999999999997">
      <c r="A2431" s="6">
        <v>43438.659039351856</v>
      </c>
      <c r="B2431" s="7" t="str">
        <f>HYPERLINK("https://twitter.com/federico_videos","@federico_videos")</f>
        <v>@federico_videos</v>
      </c>
      <c r="C2431" s="8" t="s">
        <v>8198</v>
      </c>
      <c r="D2431" s="9" t="s">
        <v>8199</v>
      </c>
      <c r="E2431" s="10" t="str">
        <f>HYPERLINK("https://twitter.com/federico_videos/status/1069966809317761026","1069966809317761026")</f>
        <v>1069966809317761026</v>
      </c>
      <c r="F2431" s="11"/>
      <c r="G2431" s="16" t="s">
        <v>8200</v>
      </c>
      <c r="H2431" s="11"/>
      <c r="I2431" s="12">
        <v>31</v>
      </c>
      <c r="J2431" s="12">
        <v>76</v>
      </c>
      <c r="K2431" s="13" t="str">
        <f>HYPERLINK("http://twitter.com/download/iphone","Twitter for iPhone")</f>
        <v>Twitter for iPhone</v>
      </c>
      <c r="L2431" s="12">
        <v>8993</v>
      </c>
      <c r="M2431" s="12">
        <v>2750</v>
      </c>
      <c r="N2431" s="12">
        <v>36</v>
      </c>
      <c r="O2431" s="14"/>
      <c r="P2431" s="6">
        <v>43027.894837962958</v>
      </c>
      <c r="Q2431" s="15" t="s">
        <v>986</v>
      </c>
      <c r="R2431" s="17" t="s">
        <v>8201</v>
      </c>
      <c r="S2431" s="11"/>
      <c r="T2431" s="11"/>
      <c r="U2431" s="10" t="str">
        <f>HYPERLINK("https://pbs.twimg.com/profile_images/1053679756963659776/nDprSiv8.jpg","View")</f>
        <v>View</v>
      </c>
    </row>
    <row r="2432" spans="1:21" ht="20.399999999999999">
      <c r="A2432" s="6">
        <v>43438.658657407403</v>
      </c>
      <c r="B2432" s="7" t="str">
        <f>HYPERLINK("https://twitter.com/moinraca3","@moinraca3")</f>
        <v>@moinraca3</v>
      </c>
      <c r="C2432" s="8" t="s">
        <v>8202</v>
      </c>
      <c r="D2432" s="9" t="s">
        <v>5087</v>
      </c>
      <c r="E2432" s="10" t="str">
        <f>HYPERLINK("https://twitter.com/moinraca3/status/1069966674944765952","1069966674944765952")</f>
        <v>1069966674944765952</v>
      </c>
      <c r="F2432" s="16" t="s">
        <v>2178</v>
      </c>
      <c r="G2432" s="11"/>
      <c r="H2432" s="11"/>
      <c r="I2432" s="12">
        <v>0</v>
      </c>
      <c r="J2432" s="12">
        <v>0</v>
      </c>
      <c r="K2432" s="13" t="str">
        <f>HYPERLINK("http://twitter.com","Twitter Web Client")</f>
        <v>Twitter Web Client</v>
      </c>
      <c r="L2432" s="12">
        <v>17</v>
      </c>
      <c r="M2432" s="12">
        <v>207</v>
      </c>
      <c r="N2432" s="12">
        <v>0</v>
      </c>
      <c r="O2432" s="14"/>
      <c r="P2432" s="6">
        <v>42620.933113425926</v>
      </c>
      <c r="Q2432" s="15" t="s">
        <v>8203</v>
      </c>
      <c r="R2432" s="17" t="s">
        <v>8204</v>
      </c>
      <c r="S2432" s="16" t="s">
        <v>8205</v>
      </c>
      <c r="T2432" s="11"/>
      <c r="U2432" s="10" t="str">
        <f>HYPERLINK("https://pbs.twimg.com/profile_images/776188147067711488/-owMl6aC.jpg","View")</f>
        <v>View</v>
      </c>
    </row>
    <row r="2433" spans="1:21" ht="20.399999999999999">
      <c r="A2433" s="6">
        <v>43438.658287037033</v>
      </c>
      <c r="B2433" s="7" t="str">
        <f>HYPERLINK("https://twitter.com/LaSufridaClase1","@LaSufridaClase1")</f>
        <v>@LaSufridaClase1</v>
      </c>
      <c r="C2433" s="8" t="s">
        <v>8206</v>
      </c>
      <c r="D2433" s="9" t="s">
        <v>8207</v>
      </c>
      <c r="E2433" s="10" t="str">
        <f>HYPERLINK("https://twitter.com/LaSufridaClase1/status/1069966537572925441","1069966537572925441")</f>
        <v>1069966537572925441</v>
      </c>
      <c r="F2433" s="11"/>
      <c r="G2433" s="16" t="s">
        <v>8208</v>
      </c>
      <c r="H2433" s="11"/>
      <c r="I2433" s="12">
        <v>12</v>
      </c>
      <c r="J2433" s="12">
        <v>15</v>
      </c>
      <c r="K2433" s="13" t="str">
        <f>HYPERLINK("http://twitter.com/download/iphone","Twitter for iPhone")</f>
        <v>Twitter for iPhone</v>
      </c>
      <c r="L2433" s="12">
        <v>269</v>
      </c>
      <c r="M2433" s="12">
        <v>286</v>
      </c>
      <c r="N2433" s="12">
        <v>0</v>
      </c>
      <c r="O2433" s="14"/>
      <c r="P2433" s="6">
        <v>42896.588726851856</v>
      </c>
      <c r="Q2433" s="15" t="s">
        <v>197</v>
      </c>
      <c r="R2433" s="17" t="s">
        <v>8209</v>
      </c>
      <c r="S2433" s="11"/>
      <c r="T2433" s="11"/>
      <c r="U2433" s="10" t="str">
        <f>HYPERLINK("https://pbs.twimg.com/profile_images/873512800701829120/bdnMcp5R.jpg","View")</f>
        <v>View</v>
      </c>
    </row>
    <row r="2434" spans="1:21" ht="61.2">
      <c r="A2434" s="6">
        <v>43438.657222222224</v>
      </c>
      <c r="B2434" s="7" t="str">
        <f>HYPERLINK("https://twitter.com/dpozola","@dpozola")</f>
        <v>@dpozola</v>
      </c>
      <c r="C2434" s="8" t="s">
        <v>8210</v>
      </c>
      <c r="D2434" s="9" t="s">
        <v>8211</v>
      </c>
      <c r="E2434" s="10" t="str">
        <f>HYPERLINK("https://twitter.com/dpozola/status/1069966152040935425","1069966152040935425")</f>
        <v>1069966152040935425</v>
      </c>
      <c r="F2434" s="15" t="s">
        <v>8212</v>
      </c>
      <c r="G2434" s="11"/>
      <c r="H2434" s="11"/>
      <c r="I2434" s="12">
        <v>0</v>
      </c>
      <c r="J2434" s="12">
        <v>0</v>
      </c>
      <c r="K2434" s="13" t="str">
        <f>HYPERLINK("http://twitter.com/download/android","Twitter for Android")</f>
        <v>Twitter for Android</v>
      </c>
      <c r="L2434" s="12">
        <v>344</v>
      </c>
      <c r="M2434" s="12">
        <v>1124</v>
      </c>
      <c r="N2434" s="12">
        <v>3</v>
      </c>
      <c r="O2434" s="14"/>
      <c r="P2434" s="6">
        <v>40859.915138888886</v>
      </c>
      <c r="Q2434" s="15" t="s">
        <v>1048</v>
      </c>
      <c r="R2434" s="17" t="s">
        <v>8213</v>
      </c>
      <c r="S2434" s="11"/>
      <c r="T2434" s="11"/>
      <c r="U2434" s="10" t="str">
        <f>HYPERLINK("https://pbs.twimg.com/profile_images/666583336412962816/I4TgZ4qd.jpg","View")</f>
        <v>View</v>
      </c>
    </row>
    <row r="2435" spans="1:21" ht="40.799999999999997">
      <c r="A2435" s="6">
        <v>43438.656747685185</v>
      </c>
      <c r="B2435" s="7" t="str">
        <f>HYPERLINK("https://twitter.com/granadahoy","@granadahoy")</f>
        <v>@granadahoy</v>
      </c>
      <c r="C2435" s="8" t="s">
        <v>8214</v>
      </c>
      <c r="D2435" s="9" t="s">
        <v>8215</v>
      </c>
      <c r="E2435" s="10" t="str">
        <f>HYPERLINK("https://twitter.com/granadahoy/status/1069965980896555009","1069965980896555009")</f>
        <v>1069965980896555009</v>
      </c>
      <c r="F2435" s="16" t="s">
        <v>8216</v>
      </c>
      <c r="G2435" s="16" t="s">
        <v>8217</v>
      </c>
      <c r="H2435" s="11"/>
      <c r="I2435" s="12">
        <v>3</v>
      </c>
      <c r="J2435" s="12">
        <v>4</v>
      </c>
      <c r="K2435" s="13" t="str">
        <f t="shared" ref="K2435:K2442" si="554">HYPERLINK("http://dogtrack.es","DogTrack_Oficial")</f>
        <v>DogTrack_Oficial</v>
      </c>
      <c r="L2435" s="12">
        <v>22710</v>
      </c>
      <c r="M2435" s="12">
        <v>374</v>
      </c>
      <c r="N2435" s="12">
        <v>374</v>
      </c>
      <c r="O2435" s="14"/>
      <c r="P2435" s="6">
        <v>39413.503437499996</v>
      </c>
      <c r="Q2435" s="15" t="s">
        <v>90</v>
      </c>
      <c r="R2435" s="17" t="s">
        <v>8218</v>
      </c>
      <c r="S2435" s="16" t="s">
        <v>8219</v>
      </c>
      <c r="T2435" s="11"/>
      <c r="U2435" s="10" t="str">
        <f>HYPERLINK("https://pbs.twimg.com/profile_images/931155954606985222/9Bi6xbdl.jpg","View")</f>
        <v>View</v>
      </c>
    </row>
    <row r="2436" spans="1:21" ht="40.799999999999997">
      <c r="A2436" s="6">
        <v>43438.656747685185</v>
      </c>
      <c r="B2436" s="7" t="str">
        <f>HYPERLINK("https://twitter.com/huelva_info","@huelva_info")</f>
        <v>@huelva_info</v>
      </c>
      <c r="C2436" s="8" t="s">
        <v>8220</v>
      </c>
      <c r="D2436" s="9" t="s">
        <v>8215</v>
      </c>
      <c r="E2436" s="10" t="str">
        <f>HYPERLINK("https://twitter.com/huelva_info/status/1069965980502237185","1069965980502237185")</f>
        <v>1069965980502237185</v>
      </c>
      <c r="F2436" s="16" t="s">
        <v>8221</v>
      </c>
      <c r="G2436" s="16" t="s">
        <v>8222</v>
      </c>
      <c r="H2436" s="11"/>
      <c r="I2436" s="12">
        <v>3</v>
      </c>
      <c r="J2436" s="12">
        <v>0</v>
      </c>
      <c r="K2436" s="13" t="str">
        <f t="shared" si="554"/>
        <v>DogTrack_Oficial</v>
      </c>
      <c r="L2436" s="12">
        <v>23537</v>
      </c>
      <c r="M2436" s="12">
        <v>1797</v>
      </c>
      <c r="N2436" s="12">
        <v>431</v>
      </c>
      <c r="O2436" s="14"/>
      <c r="P2436" s="6">
        <v>40548.603043981479</v>
      </c>
      <c r="Q2436" s="15" t="s">
        <v>852</v>
      </c>
      <c r="R2436" s="17" t="s">
        <v>8223</v>
      </c>
      <c r="S2436" s="16" t="s">
        <v>8224</v>
      </c>
      <c r="T2436" s="11"/>
      <c r="U2436" s="10" t="str">
        <f>HYPERLINK("https://pbs.twimg.com/profile_images/931156491226185728/D8HhoVkY.jpg","View")</f>
        <v>View</v>
      </c>
    </row>
    <row r="2437" spans="1:21" ht="40.799999999999997">
      <c r="A2437" s="6">
        <v>43438.656747685185</v>
      </c>
      <c r="B2437" s="7" t="str">
        <f>HYPERLINK("https://twitter.com/eldiacordoba","@eldiacordoba")</f>
        <v>@eldiacordoba</v>
      </c>
      <c r="C2437" s="8" t="s">
        <v>8225</v>
      </c>
      <c r="D2437" s="9" t="s">
        <v>8215</v>
      </c>
      <c r="E2437" s="10" t="str">
        <f>HYPERLINK("https://twitter.com/eldiacordoba/status/1069965980493901825","1069965980493901825")</f>
        <v>1069965980493901825</v>
      </c>
      <c r="F2437" s="16" t="s">
        <v>8226</v>
      </c>
      <c r="G2437" s="16" t="s">
        <v>8227</v>
      </c>
      <c r="H2437" s="11"/>
      <c r="I2437" s="12">
        <v>0</v>
      </c>
      <c r="J2437" s="12">
        <v>0</v>
      </c>
      <c r="K2437" s="13" t="str">
        <f t="shared" si="554"/>
        <v>DogTrack_Oficial</v>
      </c>
      <c r="L2437" s="12">
        <v>60882</v>
      </c>
      <c r="M2437" s="12">
        <v>2274</v>
      </c>
      <c r="N2437" s="12">
        <v>606</v>
      </c>
      <c r="O2437" s="14"/>
      <c r="P2437" s="6">
        <v>40471.769317129627</v>
      </c>
      <c r="Q2437" s="15" t="s">
        <v>8228</v>
      </c>
      <c r="R2437" s="17" t="s">
        <v>8229</v>
      </c>
      <c r="S2437" s="16" t="s">
        <v>8230</v>
      </c>
      <c r="T2437" s="11"/>
      <c r="U2437" s="10" t="str">
        <f>HYPERLINK("https://pbs.twimg.com/profile_images/931155279668023297/C19G1boO.jpg","View")</f>
        <v>View</v>
      </c>
    </row>
    <row r="2438" spans="1:21" ht="40.799999999999997">
      <c r="A2438" s="6">
        <v>43438.656747685185</v>
      </c>
      <c r="B2438" s="7" t="str">
        <f>HYPERLINK("https://twitter.com/diariodejerez","@diariodejerez")</f>
        <v>@diariodejerez</v>
      </c>
      <c r="C2438" s="8" t="s">
        <v>8231</v>
      </c>
      <c r="D2438" s="9" t="s">
        <v>8215</v>
      </c>
      <c r="E2438" s="10" t="str">
        <f>HYPERLINK("https://twitter.com/diariodejerez/status/1069965980489658369","1069965980489658369")</f>
        <v>1069965980489658369</v>
      </c>
      <c r="F2438" s="16" t="s">
        <v>8232</v>
      </c>
      <c r="G2438" s="16" t="s">
        <v>8233</v>
      </c>
      <c r="H2438" s="11"/>
      <c r="I2438" s="12">
        <v>1</v>
      </c>
      <c r="J2438" s="12">
        <v>1</v>
      </c>
      <c r="K2438" s="13" t="str">
        <f t="shared" si="554"/>
        <v>DogTrack_Oficial</v>
      </c>
      <c r="L2438" s="12">
        <v>16317</v>
      </c>
      <c r="M2438" s="12">
        <v>10</v>
      </c>
      <c r="N2438" s="12">
        <v>278</v>
      </c>
      <c r="O2438" s="14"/>
      <c r="P2438" s="6">
        <v>40582.431689814817</v>
      </c>
      <c r="Q2438" s="15" t="s">
        <v>5817</v>
      </c>
      <c r="R2438" s="17" t="s">
        <v>8234</v>
      </c>
      <c r="S2438" s="16" t="s">
        <v>8235</v>
      </c>
      <c r="T2438" s="11"/>
      <c r="U2438" s="10" t="str">
        <f>HYPERLINK("https://pbs.twimg.com/profile_images/931157158053412864/5WRXsKKP.jpg","View")</f>
        <v>View</v>
      </c>
    </row>
    <row r="2439" spans="1:21" ht="40.799999999999997">
      <c r="A2439" s="6">
        <v>43438.656747685185</v>
      </c>
      <c r="B2439" s="7" t="str">
        <f>HYPERLINK("https://twitter.com/diariocadiz","@diariocadiz")</f>
        <v>@diariocadiz</v>
      </c>
      <c r="C2439" s="8" t="s">
        <v>8236</v>
      </c>
      <c r="D2439" s="9" t="s">
        <v>8215</v>
      </c>
      <c r="E2439" s="10" t="str">
        <f>HYPERLINK("https://twitter.com/diariocadiz/status/1069965980426735616","1069965980426735616")</f>
        <v>1069965980426735616</v>
      </c>
      <c r="F2439" s="16" t="s">
        <v>8237</v>
      </c>
      <c r="G2439" s="16" t="s">
        <v>8238</v>
      </c>
      <c r="H2439" s="11"/>
      <c r="I2439" s="12">
        <v>4</v>
      </c>
      <c r="J2439" s="12">
        <v>2</v>
      </c>
      <c r="K2439" s="13" t="str">
        <f t="shared" si="554"/>
        <v>DogTrack_Oficial</v>
      </c>
      <c r="L2439" s="12">
        <v>84897</v>
      </c>
      <c r="M2439" s="12">
        <v>66</v>
      </c>
      <c r="N2439" s="12">
        <v>732</v>
      </c>
      <c r="O2439" s="14"/>
      <c r="P2439" s="6">
        <v>40596.748298611114</v>
      </c>
      <c r="Q2439" s="15" t="s">
        <v>8239</v>
      </c>
      <c r="R2439" s="17" t="s">
        <v>8240</v>
      </c>
      <c r="S2439" s="16" t="s">
        <v>8241</v>
      </c>
      <c r="T2439" s="11"/>
      <c r="U2439" s="10" t="str">
        <f>HYPERLINK("https://pbs.twimg.com/profile_images/931158343888097281/PVq1eivx.jpg","View")</f>
        <v>View</v>
      </c>
    </row>
    <row r="2440" spans="1:21" ht="40.799999999999997">
      <c r="A2440" s="6">
        <v>43438.656747685185</v>
      </c>
      <c r="B2440" s="7" t="str">
        <f>HYPERLINK("https://twitter.com/europa_sur","@europa_sur")</f>
        <v>@europa_sur</v>
      </c>
      <c r="C2440" s="8" t="s">
        <v>8242</v>
      </c>
      <c r="D2440" s="9" t="s">
        <v>8215</v>
      </c>
      <c r="E2440" s="10" t="str">
        <f>HYPERLINK("https://twitter.com/europa_sur/status/1069965980351242241","1069965980351242241")</f>
        <v>1069965980351242241</v>
      </c>
      <c r="F2440" s="16" t="s">
        <v>8243</v>
      </c>
      <c r="G2440" s="16" t="s">
        <v>8244</v>
      </c>
      <c r="H2440" s="11"/>
      <c r="I2440" s="12">
        <v>0</v>
      </c>
      <c r="J2440" s="12">
        <v>0</v>
      </c>
      <c r="K2440" s="13" t="str">
        <f t="shared" si="554"/>
        <v>DogTrack_Oficial</v>
      </c>
      <c r="L2440" s="12">
        <v>9275</v>
      </c>
      <c r="M2440" s="12">
        <v>90</v>
      </c>
      <c r="N2440" s="12">
        <v>235</v>
      </c>
      <c r="O2440" s="14"/>
      <c r="P2440" s="6">
        <v>40596.756747685184</v>
      </c>
      <c r="Q2440" s="11"/>
      <c r="R2440" s="17" t="s">
        <v>8245</v>
      </c>
      <c r="S2440" s="16" t="s">
        <v>8246</v>
      </c>
      <c r="T2440" s="11"/>
      <c r="U2440" s="10" t="str">
        <f>HYPERLINK("https://pbs.twimg.com/profile_images/931155733982470149/Kdhx_K85.jpg","View")</f>
        <v>View</v>
      </c>
    </row>
    <row r="2441" spans="1:21" ht="40.799999999999997">
      <c r="A2441" s="6">
        <v>43438.656747685185</v>
      </c>
      <c r="B2441" s="7" t="str">
        <f>HYPERLINK("https://twitter.com/malagahoy_es","@malagahoy_es")</f>
        <v>@malagahoy_es</v>
      </c>
      <c r="C2441" s="8" t="s">
        <v>8247</v>
      </c>
      <c r="D2441" s="9" t="s">
        <v>8215</v>
      </c>
      <c r="E2441" s="10" t="str">
        <f>HYPERLINK("https://twitter.com/malagahoy_es/status/1069965980246466560","1069965980246466560")</f>
        <v>1069965980246466560</v>
      </c>
      <c r="F2441" s="16" t="s">
        <v>8248</v>
      </c>
      <c r="G2441" s="16" t="s">
        <v>8249</v>
      </c>
      <c r="H2441" s="11"/>
      <c r="I2441" s="12">
        <v>1</v>
      </c>
      <c r="J2441" s="12">
        <v>0</v>
      </c>
      <c r="K2441" s="13" t="str">
        <f t="shared" si="554"/>
        <v>DogTrack_Oficial</v>
      </c>
      <c r="L2441" s="12">
        <v>123397</v>
      </c>
      <c r="M2441" s="12">
        <v>7646</v>
      </c>
      <c r="N2441" s="12">
        <v>969</v>
      </c>
      <c r="O2441" s="14"/>
      <c r="P2441" s="6">
        <v>40325.102210648147</v>
      </c>
      <c r="Q2441" s="15" t="s">
        <v>8250</v>
      </c>
      <c r="R2441" s="17" t="s">
        <v>8251</v>
      </c>
      <c r="S2441" s="16" t="s">
        <v>8252</v>
      </c>
      <c r="T2441" s="11"/>
      <c r="U2441" s="10" t="str">
        <f>HYPERLINK("https://pbs.twimg.com/profile_images/931156259105067008/QhW27LFO.jpg","View")</f>
        <v>View</v>
      </c>
    </row>
    <row r="2442" spans="1:21" ht="40.799999999999997">
      <c r="A2442" s="6">
        <v>43438.656736111108</v>
      </c>
      <c r="B2442" s="7" t="str">
        <f>HYPERLINK("https://twitter.com/DiarioDAlmeria","@DiarioDAlmeria")</f>
        <v>@DiarioDAlmeria</v>
      </c>
      <c r="C2442" s="8" t="s">
        <v>8253</v>
      </c>
      <c r="D2442" s="9" t="s">
        <v>8215</v>
      </c>
      <c r="E2442" s="10" t="str">
        <f>HYPERLINK("https://twitter.com/DiarioDAlmeria/status/1069965976605745152","1069965976605745152")</f>
        <v>1069965976605745152</v>
      </c>
      <c r="F2442" s="16" t="s">
        <v>8254</v>
      </c>
      <c r="G2442" s="16" t="s">
        <v>8255</v>
      </c>
      <c r="H2442" s="11"/>
      <c r="I2442" s="12">
        <v>0</v>
      </c>
      <c r="J2442" s="12">
        <v>1</v>
      </c>
      <c r="K2442" s="13" t="str">
        <f t="shared" si="554"/>
        <v>DogTrack_Oficial</v>
      </c>
      <c r="L2442" s="12">
        <v>11275</v>
      </c>
      <c r="M2442" s="12">
        <v>455</v>
      </c>
      <c r="N2442" s="12">
        <v>279</v>
      </c>
      <c r="O2442" s="14"/>
      <c r="P2442" s="6">
        <v>40473.74324074074</v>
      </c>
      <c r="Q2442" s="15" t="s">
        <v>663</v>
      </c>
      <c r="R2442" s="17" t="s">
        <v>8256</v>
      </c>
      <c r="S2442" s="16" t="s">
        <v>8257</v>
      </c>
      <c r="T2442" s="11"/>
      <c r="U2442" s="10" t="str">
        <f>HYPERLINK("https://pbs.twimg.com/profile_images/931158071816216576/wvKlm4qp.jpg","View")</f>
        <v>View</v>
      </c>
    </row>
    <row r="2443" spans="1:21" ht="81.599999999999994">
      <c r="A2443" s="6">
        <v>43438.6559375</v>
      </c>
      <c r="B2443" s="7" t="str">
        <f>HYPERLINK("https://twitter.com/oditsever","@oditsever")</f>
        <v>@oditsever</v>
      </c>
      <c r="C2443" s="8" t="s">
        <v>8258</v>
      </c>
      <c r="D2443" s="9" t="s">
        <v>8259</v>
      </c>
      <c r="E2443" s="10" t="str">
        <f>HYPERLINK("https://twitter.com/oditsever/status/1069965685323915264","1069965685323915264")</f>
        <v>1069965685323915264</v>
      </c>
      <c r="F2443" s="15" t="s">
        <v>5732</v>
      </c>
      <c r="G2443" s="11"/>
      <c r="H2443" s="11"/>
      <c r="I2443" s="12">
        <v>0</v>
      </c>
      <c r="J2443" s="12">
        <v>0</v>
      </c>
      <c r="K2443" s="13" t="str">
        <f t="shared" ref="K2443:K2444" si="555">HYPERLINK("http://twitter.com/download/iphone","Twitter for iPhone")</f>
        <v>Twitter for iPhone</v>
      </c>
      <c r="L2443" s="12">
        <v>89</v>
      </c>
      <c r="M2443" s="12">
        <v>129</v>
      </c>
      <c r="N2443" s="12">
        <v>2</v>
      </c>
      <c r="O2443" s="14"/>
      <c r="P2443" s="6">
        <v>40874.739699074074</v>
      </c>
      <c r="Q2443" s="15" t="s">
        <v>8260</v>
      </c>
      <c r="R2443" s="18"/>
      <c r="S2443" s="11"/>
      <c r="T2443" s="11"/>
      <c r="U2443" s="10" t="str">
        <f>HYPERLINK("https://pbs.twimg.com/profile_images/1002617420077502465/UKyIhKnF.jpg","View")</f>
        <v>View</v>
      </c>
    </row>
    <row r="2444" spans="1:21" ht="30.6">
      <c r="A2444" s="6">
        <v>43438.655532407407</v>
      </c>
      <c r="B2444" s="7" t="str">
        <f>HYPERLINK("https://twitter.com/ngeles_lee","@ngeles_lee")</f>
        <v>@ngeles_lee</v>
      </c>
      <c r="C2444" s="8" t="s">
        <v>8261</v>
      </c>
      <c r="D2444" s="9" t="s">
        <v>8262</v>
      </c>
      <c r="E2444" s="10" t="str">
        <f>HYPERLINK("https://twitter.com/ngeles_lee/status/1069965540670799873","1069965540670799873")</f>
        <v>1069965540670799873</v>
      </c>
      <c r="F2444" s="16" t="s">
        <v>4589</v>
      </c>
      <c r="G2444" s="11"/>
      <c r="H2444" s="11"/>
      <c r="I2444" s="12">
        <v>0</v>
      </c>
      <c r="J2444" s="12">
        <v>0</v>
      </c>
      <c r="K2444" s="13" t="str">
        <f t="shared" si="555"/>
        <v>Twitter for iPhone</v>
      </c>
      <c r="L2444" s="12">
        <v>795</v>
      </c>
      <c r="M2444" s="12">
        <v>508</v>
      </c>
      <c r="N2444" s="12">
        <v>3</v>
      </c>
      <c r="O2444" s="14"/>
      <c r="P2444" s="6">
        <v>42408.018900462965</v>
      </c>
      <c r="Q2444" s="15" t="s">
        <v>197</v>
      </c>
      <c r="R2444" s="17" t="s">
        <v>8263</v>
      </c>
      <c r="S2444" s="11"/>
      <c r="T2444" s="11"/>
      <c r="U2444" s="10" t="str">
        <f>HYPERLINK("https://pbs.twimg.com/profile_images/696478905033760769/bwdXN0zr.jpg","View")</f>
        <v>View</v>
      </c>
    </row>
    <row r="2445" spans="1:21" ht="51">
      <c r="A2445" s="6">
        <v>43438.654699074075</v>
      </c>
      <c r="B2445" s="7" t="str">
        <f>HYPERLINK("https://twitter.com/amandaschez","@amandaschez")</f>
        <v>@amandaschez</v>
      </c>
      <c r="C2445" s="8" t="s">
        <v>5652</v>
      </c>
      <c r="D2445" s="9" t="s">
        <v>8264</v>
      </c>
      <c r="E2445" s="10" t="str">
        <f>HYPERLINK("https://twitter.com/amandaschez/status/1069965240526405634","1069965240526405634")</f>
        <v>1069965240526405634</v>
      </c>
      <c r="F2445" s="11"/>
      <c r="G2445" s="11"/>
      <c r="H2445" s="11"/>
      <c r="I2445" s="12">
        <v>0</v>
      </c>
      <c r="J2445" s="12">
        <v>0</v>
      </c>
      <c r="K2445" s="13" t="str">
        <f>HYPERLINK("http://twitter.com","Twitter Web Client")</f>
        <v>Twitter Web Client</v>
      </c>
      <c r="L2445" s="12">
        <v>508</v>
      </c>
      <c r="M2445" s="12">
        <v>1156</v>
      </c>
      <c r="N2445" s="12">
        <v>7</v>
      </c>
      <c r="O2445" s="14"/>
      <c r="P2445" s="6">
        <v>42036.973113425927</v>
      </c>
      <c r="Q2445" s="15" t="s">
        <v>5654</v>
      </c>
      <c r="R2445" s="17" t="s">
        <v>5655</v>
      </c>
      <c r="S2445" s="11"/>
      <c r="T2445" s="11"/>
      <c r="U2445" s="10" t="str">
        <f>HYPERLINK("https://pbs.twimg.com/profile_images/684840702845517824/_Ug34HZs.jpg","View")</f>
        <v>View</v>
      </c>
    </row>
    <row r="2446" spans="1:21" ht="40.799999999999997">
      <c r="A2446" s="6">
        <v>43438.654120370367</v>
      </c>
      <c r="B2446" s="7" t="str">
        <f>HYPERLINK("https://twitter.com/Juanerpf","@Juanerpf")</f>
        <v>@Juanerpf</v>
      </c>
      <c r="C2446" s="8" t="s">
        <v>6421</v>
      </c>
      <c r="D2446" s="9" t="s">
        <v>8265</v>
      </c>
      <c r="E2446" s="10" t="str">
        <f>HYPERLINK("https://twitter.com/Juanerpf/status/1069965028831453184","1069965028831453184")</f>
        <v>1069965028831453184</v>
      </c>
      <c r="F2446" s="11"/>
      <c r="G2446" s="16" t="s">
        <v>8266</v>
      </c>
      <c r="H2446" s="11"/>
      <c r="I2446" s="12">
        <v>6</v>
      </c>
      <c r="J2446" s="12">
        <v>11</v>
      </c>
      <c r="K2446" s="13" t="str">
        <f>HYPERLINK("http://twitter.com/download/android","Twitter for Android")</f>
        <v>Twitter for Android</v>
      </c>
      <c r="L2446" s="12">
        <v>6805</v>
      </c>
      <c r="M2446" s="12">
        <v>878</v>
      </c>
      <c r="N2446" s="12">
        <v>306</v>
      </c>
      <c r="O2446" s="14"/>
      <c r="P2446" s="6">
        <v>40980.873715277776</v>
      </c>
      <c r="Q2446" s="15" t="s">
        <v>4486</v>
      </c>
      <c r="R2446" s="17" t="s">
        <v>6424</v>
      </c>
      <c r="S2446" s="16" t="s">
        <v>6425</v>
      </c>
      <c r="T2446" s="11"/>
      <c r="U2446" s="10" t="str">
        <f>HYPERLINK("https://pbs.twimg.com/profile_images/537274998272954368/lLSuaKwi.jpeg","View")</f>
        <v>View</v>
      </c>
    </row>
    <row r="2447" spans="1:21" ht="112.2">
      <c r="A2447" s="6">
        <v>43438.653425925921</v>
      </c>
      <c r="B2447" s="7" t="str">
        <f>HYPERLINK("https://twitter.com/David_de_Miguel","@David_de_Miguel")</f>
        <v>@David_de_Miguel</v>
      </c>
      <c r="C2447" s="8" t="s">
        <v>8267</v>
      </c>
      <c r="D2447" s="9" t="s">
        <v>8268</v>
      </c>
      <c r="E2447" s="10" t="str">
        <f>HYPERLINK("https://twitter.com/David_de_Miguel/status/1069964775298396161","1069964775298396161")</f>
        <v>1069964775298396161</v>
      </c>
      <c r="F2447" s="16" t="s">
        <v>43</v>
      </c>
      <c r="G2447" s="11"/>
      <c r="H2447" s="11"/>
      <c r="I2447" s="12">
        <v>0</v>
      </c>
      <c r="J2447" s="12">
        <v>1</v>
      </c>
      <c r="K2447" s="13" t="str">
        <f>HYPERLINK("http://twitter.com","Twitter Web Client")</f>
        <v>Twitter Web Client</v>
      </c>
      <c r="L2447" s="12">
        <v>1220</v>
      </c>
      <c r="M2447" s="12">
        <v>1223</v>
      </c>
      <c r="N2447" s="12">
        <v>44</v>
      </c>
      <c r="O2447" s="14"/>
      <c r="P2447" s="6">
        <v>40381.45149305556</v>
      </c>
      <c r="Q2447" s="15" t="s">
        <v>4300</v>
      </c>
      <c r="R2447" s="17" t="s">
        <v>8269</v>
      </c>
      <c r="S2447" s="16" t="s">
        <v>8270</v>
      </c>
      <c r="T2447" s="11"/>
      <c r="U2447" s="10" t="str">
        <f>HYPERLINK("https://pbs.twimg.com/profile_images/1063197254264209414/VU7FrdAi.jpg","View")</f>
        <v>View</v>
      </c>
    </row>
    <row r="2448" spans="1:21" ht="40.799999999999997">
      <c r="A2448" s="6">
        <v>43438.652511574073</v>
      </c>
      <c r="B2448" s="7" t="str">
        <f>HYPERLINK("https://twitter.com/nanojunco","@nanojunco")</f>
        <v>@nanojunco</v>
      </c>
      <c r="C2448" s="8" t="s">
        <v>8271</v>
      </c>
      <c r="D2448" s="9" t="s">
        <v>8272</v>
      </c>
      <c r="E2448" s="10" t="str">
        <f>HYPERLINK("https://twitter.com/nanojunco/status/1069964444292317185","1069964444292317185")</f>
        <v>1069964444292317185</v>
      </c>
      <c r="F2448" s="11"/>
      <c r="G2448" s="11"/>
      <c r="H2448" s="11"/>
      <c r="I2448" s="12">
        <v>0</v>
      </c>
      <c r="J2448" s="12">
        <v>0</v>
      </c>
      <c r="K2448" s="13" t="str">
        <f>HYPERLINK("http://twitter.com/download/android","Twitter for Android")</f>
        <v>Twitter for Android</v>
      </c>
      <c r="L2448" s="12">
        <v>192</v>
      </c>
      <c r="M2448" s="12">
        <v>394</v>
      </c>
      <c r="N2448" s="12">
        <v>1</v>
      </c>
      <c r="O2448" s="14"/>
      <c r="P2448" s="6">
        <v>40910.620254629626</v>
      </c>
      <c r="Q2448" s="15" t="s">
        <v>3526</v>
      </c>
      <c r="R2448" s="17" t="s">
        <v>8273</v>
      </c>
      <c r="S2448" s="11"/>
      <c r="T2448" s="11"/>
      <c r="U2448" s="10" t="str">
        <f>HYPERLINK("https://pbs.twimg.com/profile_images/856259439577452545/lmOLVEzV.jpg","View")</f>
        <v>View</v>
      </c>
    </row>
    <row r="2449" spans="1:21" ht="61.2">
      <c r="A2449" s="6">
        <v>43438.651851851857</v>
      </c>
      <c r="B2449" s="7" t="str">
        <f>HYPERLINK("https://twitter.com/JuanLebronSpain","@JuanLebronSpain")</f>
        <v>@JuanLebronSpain</v>
      </c>
      <c r="C2449" s="8" t="s">
        <v>8274</v>
      </c>
      <c r="D2449" s="9" t="s">
        <v>8275</v>
      </c>
      <c r="E2449" s="10" t="str">
        <f>HYPERLINK("https://twitter.com/JuanLebronSpain/status/1069964208748589056","1069964208748589056")</f>
        <v>1069964208748589056</v>
      </c>
      <c r="F2449" s="16" t="s">
        <v>4640</v>
      </c>
      <c r="G2449" s="16" t="s">
        <v>8276</v>
      </c>
      <c r="H2449" s="11"/>
      <c r="I2449" s="12">
        <v>1</v>
      </c>
      <c r="J2449" s="12">
        <v>5</v>
      </c>
      <c r="K2449" s="13" t="str">
        <f>HYPERLINK("http://twitter.com/#!/download/ipad","Twitter for iPad")</f>
        <v>Twitter for iPad</v>
      </c>
      <c r="L2449" s="12">
        <v>389</v>
      </c>
      <c r="M2449" s="12">
        <v>20</v>
      </c>
      <c r="N2449" s="12">
        <v>3</v>
      </c>
      <c r="O2449" s="14"/>
      <c r="P2449" s="6">
        <v>40700.508993055555</v>
      </c>
      <c r="Q2449" s="15" t="s">
        <v>8277</v>
      </c>
      <c r="R2449" s="17" t="s">
        <v>8278</v>
      </c>
      <c r="S2449" s="16" t="s">
        <v>8279</v>
      </c>
      <c r="T2449" s="11"/>
      <c r="U2449" s="10" t="str">
        <f>HYPERLINK("https://pbs.twimg.com/profile_images/1054773538257801216/nGka5lQo.jpg","View")</f>
        <v>View</v>
      </c>
    </row>
    <row r="2450" spans="1:21" ht="20.399999999999999">
      <c r="A2450" s="6">
        <v>43438.65111111111</v>
      </c>
      <c r="B2450" s="7" t="str">
        <f>HYPERLINK("https://twitter.com/negativo_stats","@negativo_stats")</f>
        <v>@negativo_stats</v>
      </c>
      <c r="C2450" s="8" t="s">
        <v>182</v>
      </c>
      <c r="D2450" s="9" t="s">
        <v>183</v>
      </c>
      <c r="E2450" s="10" t="str">
        <f>HYPERLINK("https://twitter.com/negativo_stats/status/1069963937087668225","1069963937087668225")</f>
        <v>1069963937087668225</v>
      </c>
      <c r="F2450" s="11"/>
      <c r="G2450" s="16" t="s">
        <v>8280</v>
      </c>
      <c r="H2450" s="11"/>
      <c r="I2450" s="12">
        <v>0</v>
      </c>
      <c r="J2450" s="12">
        <v>0</v>
      </c>
      <c r="K2450" s="13" t="str">
        <f>HYPERLINK("http://kosmonautica.es","Política Negativa")</f>
        <v>Política Negativa</v>
      </c>
      <c r="L2450" s="12">
        <v>268</v>
      </c>
      <c r="M2450" s="12">
        <v>788</v>
      </c>
      <c r="N2450" s="12">
        <v>2</v>
      </c>
      <c r="O2450" s="14"/>
      <c r="P2450" s="6">
        <v>42171.770601851851</v>
      </c>
      <c r="Q2450" s="15" t="s">
        <v>185</v>
      </c>
      <c r="R2450" s="17" t="s">
        <v>186</v>
      </c>
      <c r="S2450" s="11"/>
      <c r="T2450" s="11"/>
      <c r="U2450" s="10" t="str">
        <f>HYPERLINK("https://pbs.twimg.com/profile_images/628553625984438272/e-VHyhP1.png","View")</f>
        <v>View</v>
      </c>
    </row>
    <row r="2451" spans="1:21" ht="61.2">
      <c r="A2451" s="6">
        <v>43438.650127314817</v>
      </c>
      <c r="B2451" s="7" t="str">
        <f>HYPERLINK("https://twitter.com/w_licencia","@w_licencia")</f>
        <v>@w_licencia</v>
      </c>
      <c r="C2451" s="8" t="s">
        <v>8281</v>
      </c>
      <c r="D2451" s="9" t="s">
        <v>8282</v>
      </c>
      <c r="E2451" s="10" t="str">
        <f>HYPERLINK("https://twitter.com/w_licencia/status/1069963579988865024","1069963579988865024")</f>
        <v>1069963579988865024</v>
      </c>
      <c r="F2451" s="11"/>
      <c r="G2451" s="11"/>
      <c r="H2451" s="11"/>
      <c r="I2451" s="12">
        <v>1</v>
      </c>
      <c r="J2451" s="12">
        <v>1</v>
      </c>
      <c r="K2451" s="13" t="str">
        <f>HYPERLINK("http://twitter.com/download/android","Twitter for Android")</f>
        <v>Twitter for Android</v>
      </c>
      <c r="L2451" s="12">
        <v>51</v>
      </c>
      <c r="M2451" s="12">
        <v>167</v>
      </c>
      <c r="N2451" s="12">
        <v>0</v>
      </c>
      <c r="O2451" s="14"/>
      <c r="P2451" s="6">
        <v>42680.513645833329</v>
      </c>
      <c r="Q2451" s="11"/>
      <c r="R2451" s="17" t="s">
        <v>8283</v>
      </c>
      <c r="S2451" s="16" t="s">
        <v>8284</v>
      </c>
      <c r="T2451" s="11"/>
      <c r="U2451" s="10" t="str">
        <f>HYPERLINK("https://pbs.twimg.com/profile_images/1059891279545409536/BfkBXFqf.jpg","View")</f>
        <v>View</v>
      </c>
    </row>
    <row r="2452" spans="1:21" ht="40.799999999999997">
      <c r="A2452" s="6">
        <v>43438.647719907407</v>
      </c>
      <c r="B2452" s="7" t="str">
        <f>HYPERLINK("https://twitter.com/Verabadthings","@Verabadthings")</f>
        <v>@Verabadthings</v>
      </c>
      <c r="C2452" s="8" t="s">
        <v>2777</v>
      </c>
      <c r="D2452" s="9" t="s">
        <v>8285</v>
      </c>
      <c r="E2452" s="10" t="str">
        <f>HYPERLINK("https://twitter.com/Verabadthings/status/1069962707389046784","1069962707389046784")</f>
        <v>1069962707389046784</v>
      </c>
      <c r="F2452" s="16" t="s">
        <v>8286</v>
      </c>
      <c r="G2452" s="11"/>
      <c r="H2452" s="11"/>
      <c r="I2452" s="12">
        <v>0</v>
      </c>
      <c r="J2452" s="12">
        <v>0</v>
      </c>
      <c r="K2452" s="13" t="str">
        <f t="shared" ref="K2452:K2453" si="556">HYPERLINK("http://twitter.com","Twitter Web Client")</f>
        <v>Twitter Web Client</v>
      </c>
      <c r="L2452" s="12">
        <v>2341</v>
      </c>
      <c r="M2452" s="12">
        <v>1121</v>
      </c>
      <c r="N2452" s="12">
        <v>36</v>
      </c>
      <c r="O2452" s="14"/>
      <c r="P2452" s="6">
        <v>40634.926863425928</v>
      </c>
      <c r="Q2452" s="15" t="s">
        <v>2780</v>
      </c>
      <c r="R2452" s="17" t="s">
        <v>2781</v>
      </c>
      <c r="S2452" s="11"/>
      <c r="T2452" s="11"/>
      <c r="U2452" s="10" t="str">
        <f>HYPERLINK("https://pbs.twimg.com/profile_images/1296419818/Invierno_2009_053.JPG","View")</f>
        <v>View</v>
      </c>
    </row>
    <row r="2453" spans="1:21" ht="40.799999999999997">
      <c r="A2453" s="6">
        <v>43438.646504629629</v>
      </c>
      <c r="B2453" s="7" t="str">
        <f>HYPERLINK("https://twitter.com/web_pastor","@web_pastor")</f>
        <v>@web_pastor</v>
      </c>
      <c r="C2453" s="8" t="s">
        <v>8287</v>
      </c>
      <c r="D2453" s="9" t="s">
        <v>8288</v>
      </c>
      <c r="E2453" s="10" t="str">
        <f>HYPERLINK("https://twitter.com/web_pastor/status/1069962270296297472","1069962270296297472")</f>
        <v>1069962270296297472</v>
      </c>
      <c r="F2453" s="11"/>
      <c r="G2453" s="11"/>
      <c r="H2453" s="11"/>
      <c r="I2453" s="12">
        <v>2</v>
      </c>
      <c r="J2453" s="12">
        <v>3</v>
      </c>
      <c r="K2453" s="13" t="str">
        <f t="shared" si="556"/>
        <v>Twitter Web Client</v>
      </c>
      <c r="L2453" s="12">
        <v>18144</v>
      </c>
      <c r="M2453" s="12">
        <v>598</v>
      </c>
      <c r="N2453" s="12">
        <v>227</v>
      </c>
      <c r="O2453" s="14"/>
      <c r="P2453" s="6">
        <v>40671.907534722224</v>
      </c>
      <c r="Q2453" s="15" t="s">
        <v>8289</v>
      </c>
      <c r="R2453" s="17" t="s">
        <v>8290</v>
      </c>
      <c r="S2453" s="16" t="s">
        <v>8291</v>
      </c>
      <c r="T2453" s="11"/>
      <c r="U2453" s="10" t="str">
        <f>HYPERLINK("https://pbs.twimg.com/profile_images/1067558287682428928/gO5s3tJj.jpg","View")</f>
        <v>View</v>
      </c>
    </row>
    <row r="2454" spans="1:21" ht="40.799999999999997">
      <c r="A2454" s="6">
        <v>43438.646018518513</v>
      </c>
      <c r="B2454" s="7" t="str">
        <f>HYPERLINK("https://twitter.com/CervantesFAQs","@CervantesFAQs")</f>
        <v>@CervantesFAQs</v>
      </c>
      <c r="C2454" s="8" t="s">
        <v>8292</v>
      </c>
      <c r="D2454" s="9" t="s">
        <v>8293</v>
      </c>
      <c r="E2454" s="10" t="str">
        <f>HYPERLINK("https://twitter.com/CervantesFAQs/status/1069962090801233923","1069962090801233923")</f>
        <v>1069962090801233923</v>
      </c>
      <c r="F2454" s="11"/>
      <c r="G2454" s="16" t="s">
        <v>8294</v>
      </c>
      <c r="H2454" s="11"/>
      <c r="I2454" s="12">
        <v>51</v>
      </c>
      <c r="J2454" s="12">
        <v>47</v>
      </c>
      <c r="K2454" s="13" t="str">
        <f t="shared" ref="K2454:K2455" si="557">HYPERLINK("https://mobile.twitter.com","Twitter Lite")</f>
        <v>Twitter Lite</v>
      </c>
      <c r="L2454" s="12">
        <v>41917</v>
      </c>
      <c r="M2454" s="12">
        <v>999</v>
      </c>
      <c r="N2454" s="12">
        <v>347</v>
      </c>
      <c r="O2454" s="14"/>
      <c r="P2454" s="6">
        <v>40904.665162037039</v>
      </c>
      <c r="Q2454" s="11"/>
      <c r="R2454" s="17" t="s">
        <v>8295</v>
      </c>
      <c r="S2454" s="16" t="s">
        <v>8296</v>
      </c>
      <c r="T2454" s="11"/>
      <c r="U2454" s="10" t="str">
        <f>HYPERLINK("https://pbs.twimg.com/profile_images/1040899168477372417/HKN0kl5-.jpg","View")</f>
        <v>View</v>
      </c>
    </row>
    <row r="2455" spans="1:21" ht="81.599999999999994">
      <c r="A2455" s="6">
        <v>43438.645856481482</v>
      </c>
      <c r="B2455" s="7" t="str">
        <f>HYPERLINK("https://twitter.com/BelnMoro2","@BelnMoro2")</f>
        <v>@BelnMoro2</v>
      </c>
      <c r="C2455" s="8" t="s">
        <v>8085</v>
      </c>
      <c r="D2455" s="9" t="s">
        <v>8297</v>
      </c>
      <c r="E2455" s="10" t="str">
        <f>HYPERLINK("https://twitter.com/BelnMoro2/status/1069962036061396993","1069962036061396993")</f>
        <v>1069962036061396993</v>
      </c>
      <c r="F2455" s="15" t="s">
        <v>8131</v>
      </c>
      <c r="G2455" s="11"/>
      <c r="H2455" s="11"/>
      <c r="I2455" s="12">
        <v>0</v>
      </c>
      <c r="J2455" s="12">
        <v>0</v>
      </c>
      <c r="K2455" s="13" t="str">
        <f t="shared" si="557"/>
        <v>Twitter Lite</v>
      </c>
      <c r="L2455" s="12">
        <v>32</v>
      </c>
      <c r="M2455" s="12">
        <v>219</v>
      </c>
      <c r="N2455" s="12">
        <v>0</v>
      </c>
      <c r="O2455" s="14"/>
      <c r="P2455" s="6">
        <v>43370.391921296294</v>
      </c>
      <c r="Q2455" s="11"/>
      <c r="R2455" s="17" t="s">
        <v>8088</v>
      </c>
      <c r="S2455" s="16" t="s">
        <v>8089</v>
      </c>
      <c r="T2455" s="11"/>
      <c r="U2455" s="10" t="str">
        <f>HYPERLINK("https://pbs.twimg.com/profile_images/1047006467205816320/LIeL-lKv.jpg","View")</f>
        <v>View</v>
      </c>
    </row>
    <row r="2456" spans="1:21" ht="61.2">
      <c r="A2456" s="6">
        <v>43438.644791666666</v>
      </c>
      <c r="B2456" s="7" t="str">
        <f>HYPERLINK("https://twitter.com/TransUPM","@TransUPM")</f>
        <v>@TransUPM</v>
      </c>
      <c r="C2456" s="8" t="s">
        <v>293</v>
      </c>
      <c r="D2456" s="9" t="s">
        <v>8298</v>
      </c>
      <c r="E2456" s="10" t="str">
        <f>HYPERLINK("https://twitter.com/TransUPM/status/1069961649124196356","1069961649124196356")</f>
        <v>1069961649124196356</v>
      </c>
      <c r="F2456" s="15" t="s">
        <v>7386</v>
      </c>
      <c r="G2456" s="11"/>
      <c r="H2456" s="11"/>
      <c r="I2456" s="12">
        <v>1</v>
      </c>
      <c r="J2456" s="12">
        <v>3</v>
      </c>
      <c r="K2456" s="13" t="str">
        <f>HYPERLINK("http://twitter.com/#!/download/ipad","Twitter for iPad")</f>
        <v>Twitter for iPad</v>
      </c>
      <c r="L2456" s="12">
        <v>742</v>
      </c>
      <c r="M2456" s="12">
        <v>748</v>
      </c>
      <c r="N2456" s="12">
        <v>25</v>
      </c>
      <c r="O2456" s="14"/>
      <c r="P2456" s="6">
        <v>40990.723449074074</v>
      </c>
      <c r="Q2456" s="15" t="s">
        <v>296</v>
      </c>
      <c r="R2456" s="17" t="s">
        <v>297</v>
      </c>
      <c r="S2456" s="11"/>
      <c r="T2456" s="11"/>
      <c r="U2456" s="10" t="str">
        <f>HYPERLINK("https://pbs.twimg.com/profile_images/991114054189109250/998-LfOp.jpg","View")</f>
        <v>View</v>
      </c>
    </row>
    <row r="2457" spans="1:21" ht="71.400000000000006">
      <c r="A2457" s="6">
        <v>43438.643263888887</v>
      </c>
      <c r="B2457" s="7" t="str">
        <f>HYPERLINK("https://twitter.com/EdwarFortimagen","@EdwarFortimagen")</f>
        <v>@EdwarFortimagen</v>
      </c>
      <c r="C2457" s="8" t="s">
        <v>8171</v>
      </c>
      <c r="D2457" s="9" t="s">
        <v>8299</v>
      </c>
      <c r="E2457" s="10" t="str">
        <f>HYPERLINK("https://twitter.com/EdwarFortimagen/status/1069961093899018241","1069961093899018241")</f>
        <v>1069961093899018241</v>
      </c>
      <c r="F2457" s="16" t="s">
        <v>8300</v>
      </c>
      <c r="G2457" s="16" t="s">
        <v>8301</v>
      </c>
      <c r="H2457" s="11"/>
      <c r="I2457" s="12">
        <v>0</v>
      </c>
      <c r="J2457" s="12">
        <v>0</v>
      </c>
      <c r="K2457" s="13" t="str">
        <f>HYPERLINK("http://twitter.com","Twitter Web Client")</f>
        <v>Twitter Web Client</v>
      </c>
      <c r="L2457" s="12">
        <v>131</v>
      </c>
      <c r="M2457" s="12">
        <v>361</v>
      </c>
      <c r="N2457" s="12">
        <v>0</v>
      </c>
      <c r="O2457" s="14"/>
      <c r="P2457" s="6">
        <v>41073.619293981479</v>
      </c>
      <c r="Q2457" s="15" t="s">
        <v>197</v>
      </c>
      <c r="R2457" s="17" t="s">
        <v>8174</v>
      </c>
      <c r="S2457" s="11"/>
      <c r="T2457" s="11"/>
      <c r="U2457" s="10" t="str">
        <f>HYPERLINK("https://pbs.twimg.com/profile_images/984423561476657152/sSZynsV3.jpg","View")</f>
        <v>View</v>
      </c>
    </row>
    <row r="2458" spans="1:21" ht="40.799999999999997">
      <c r="A2458" s="6">
        <v>43438.63962962963</v>
      </c>
      <c r="B2458" s="7" t="str">
        <f>HYPERLINK("https://twitter.com/firerats2","@firerats2")</f>
        <v>@firerats2</v>
      </c>
      <c r="C2458" s="8" t="s">
        <v>8302</v>
      </c>
      <c r="D2458" s="9" t="s">
        <v>8303</v>
      </c>
      <c r="E2458" s="10" t="str">
        <f>HYPERLINK("https://twitter.com/firerats2/status/1069959776317128705","1069959776317128705")</f>
        <v>1069959776317128705</v>
      </c>
      <c r="F2458" s="11"/>
      <c r="G2458" s="11"/>
      <c r="H2458" s="11"/>
      <c r="I2458" s="12">
        <v>1</v>
      </c>
      <c r="J2458" s="12">
        <v>1</v>
      </c>
      <c r="K2458" s="13" t="str">
        <f t="shared" ref="K2458:K2465" si="558">HYPERLINK("http://twitter.com/download/android","Twitter for Android")</f>
        <v>Twitter for Android</v>
      </c>
      <c r="L2458" s="12">
        <v>166</v>
      </c>
      <c r="M2458" s="12">
        <v>319</v>
      </c>
      <c r="N2458" s="12">
        <v>0</v>
      </c>
      <c r="O2458" s="14"/>
      <c r="P2458" s="6">
        <v>43341.626770833333</v>
      </c>
      <c r="Q2458" s="15" t="s">
        <v>8304</v>
      </c>
      <c r="R2458" s="17" t="s">
        <v>8305</v>
      </c>
      <c r="S2458" s="11"/>
      <c r="T2458" s="11"/>
      <c r="U2458" s="10" t="str">
        <f>HYPERLINK("https://pbs.twimg.com/profile_images/1064191035079839746/QHbLK9zX.jpg","View")</f>
        <v>View</v>
      </c>
    </row>
    <row r="2459" spans="1:21" ht="61.2">
      <c r="A2459" s="6">
        <v>43438.637256944443</v>
      </c>
      <c r="B2459" s="7" t="str">
        <f>HYPERLINK("https://twitter.com/UlisesGamez10","@UlisesGamez10")</f>
        <v>@UlisesGamez10</v>
      </c>
      <c r="C2459" s="8" t="s">
        <v>233</v>
      </c>
      <c r="D2459" s="9" t="s">
        <v>8306</v>
      </c>
      <c r="E2459" s="10" t="str">
        <f>HYPERLINK("https://twitter.com/UlisesGamez10/status/1069958919395647490","1069958919395647490")</f>
        <v>1069958919395647490</v>
      </c>
      <c r="F2459" s="11"/>
      <c r="G2459" s="11"/>
      <c r="H2459" s="11"/>
      <c r="I2459" s="12">
        <v>0</v>
      </c>
      <c r="J2459" s="12">
        <v>0</v>
      </c>
      <c r="K2459" s="13" t="str">
        <f t="shared" si="558"/>
        <v>Twitter for Android</v>
      </c>
      <c r="L2459" s="12">
        <v>1184</v>
      </c>
      <c r="M2459" s="12">
        <v>5002</v>
      </c>
      <c r="N2459" s="12">
        <v>0</v>
      </c>
      <c r="O2459" s="14"/>
      <c r="P2459" s="6">
        <v>43190.59783564815</v>
      </c>
      <c r="Q2459" s="15" t="s">
        <v>236</v>
      </c>
      <c r="R2459" s="17" t="s">
        <v>237</v>
      </c>
      <c r="S2459" s="11"/>
      <c r="T2459" s="11"/>
      <c r="U2459" s="10" t="str">
        <f>HYPERLINK("https://pbs.twimg.com/profile_images/1068881444196499456/MCgxp2WR.jpg","View")</f>
        <v>View</v>
      </c>
    </row>
    <row r="2460" spans="1:21" ht="71.400000000000006">
      <c r="A2460" s="6">
        <v>43438.636597222227</v>
      </c>
      <c r="B2460" s="7" t="str">
        <f>HYPERLINK("https://twitter.com/Carmen_PN","@Carmen_PN")</f>
        <v>@Carmen_PN</v>
      </c>
      <c r="C2460" s="8" t="s">
        <v>8307</v>
      </c>
      <c r="D2460" s="9" t="s">
        <v>8308</v>
      </c>
      <c r="E2460" s="10" t="str">
        <f>HYPERLINK("https://twitter.com/Carmen_PN/status/1069958676956487680","1069958676956487680")</f>
        <v>1069958676956487680</v>
      </c>
      <c r="F2460" s="16" t="s">
        <v>8309</v>
      </c>
      <c r="G2460" s="11"/>
      <c r="H2460" s="11"/>
      <c r="I2460" s="12">
        <v>5</v>
      </c>
      <c r="J2460" s="12">
        <v>6</v>
      </c>
      <c r="K2460" s="13" t="str">
        <f t="shared" si="558"/>
        <v>Twitter for Android</v>
      </c>
      <c r="L2460" s="12">
        <v>1394</v>
      </c>
      <c r="M2460" s="12">
        <v>1441</v>
      </c>
      <c r="N2460" s="12">
        <v>4</v>
      </c>
      <c r="O2460" s="14"/>
      <c r="P2460" s="6">
        <v>42542.729386574079</v>
      </c>
      <c r="Q2460" s="15" t="s">
        <v>8310</v>
      </c>
      <c r="R2460" s="17" t="s">
        <v>8311</v>
      </c>
      <c r="S2460" s="11"/>
      <c r="T2460" s="11"/>
      <c r="U2460" s="10" t="str">
        <f>HYPERLINK("https://pbs.twimg.com/profile_images/1068867645901025283/jEjNzvjP.jpg","View")</f>
        <v>View</v>
      </c>
    </row>
    <row r="2461" spans="1:21" ht="30.6">
      <c r="A2461" s="6">
        <v>43438.636481481481</v>
      </c>
      <c r="B2461" s="7" t="str">
        <f>HYPERLINK("https://twitter.com/chepiramone","@chepiramone")</f>
        <v>@chepiramone</v>
      </c>
      <c r="C2461" s="8" t="s">
        <v>8312</v>
      </c>
      <c r="D2461" s="9" t="s">
        <v>8313</v>
      </c>
      <c r="E2461" s="10" t="str">
        <f>HYPERLINK("https://twitter.com/chepiramone/status/1069958635617468416","1069958635617468416")</f>
        <v>1069958635617468416</v>
      </c>
      <c r="F2461" s="11"/>
      <c r="G2461" s="11"/>
      <c r="H2461" s="11"/>
      <c r="I2461" s="12">
        <v>0</v>
      </c>
      <c r="J2461" s="12">
        <v>1</v>
      </c>
      <c r="K2461" s="13" t="str">
        <f t="shared" si="558"/>
        <v>Twitter for Android</v>
      </c>
      <c r="L2461" s="12">
        <v>317</v>
      </c>
      <c r="M2461" s="12">
        <v>849</v>
      </c>
      <c r="N2461" s="12">
        <v>9</v>
      </c>
      <c r="O2461" s="14"/>
      <c r="P2461" s="6">
        <v>40445.89603009259</v>
      </c>
      <c r="Q2461" s="15" t="s">
        <v>8314</v>
      </c>
      <c r="R2461" s="17" t="s">
        <v>8315</v>
      </c>
      <c r="S2461" s="16" t="s">
        <v>8316</v>
      </c>
      <c r="T2461" s="11"/>
      <c r="U2461" s="10" t="str">
        <f>HYPERLINK("https://pbs.twimg.com/profile_images/1046748915792596993/1mnS1ZdR.jpg","View")</f>
        <v>View</v>
      </c>
    </row>
    <row r="2462" spans="1:21" ht="81.599999999999994">
      <c r="A2462" s="6">
        <v>43438.636203703703</v>
      </c>
      <c r="B2462" s="7" t="str">
        <f>HYPERLINK("https://twitter.com/AlbertoSBlanco","@AlbertoSBlanco")</f>
        <v>@AlbertoSBlanco</v>
      </c>
      <c r="C2462" s="8" t="s">
        <v>1127</v>
      </c>
      <c r="D2462" s="9" t="s">
        <v>8317</v>
      </c>
      <c r="E2462" s="10" t="str">
        <f>HYPERLINK("https://twitter.com/AlbertoSBlanco/status/1069958535914627079","1069958535914627079")</f>
        <v>1069958535914627079</v>
      </c>
      <c r="F2462" s="15" t="s">
        <v>8318</v>
      </c>
      <c r="G2462" s="11"/>
      <c r="H2462" s="11"/>
      <c r="I2462" s="12">
        <v>0</v>
      </c>
      <c r="J2462" s="12">
        <v>1</v>
      </c>
      <c r="K2462" s="13" t="str">
        <f t="shared" si="558"/>
        <v>Twitter for Android</v>
      </c>
      <c r="L2462" s="12">
        <v>2667</v>
      </c>
      <c r="M2462" s="12">
        <v>1400</v>
      </c>
      <c r="N2462" s="12">
        <v>33</v>
      </c>
      <c r="O2462" s="14"/>
      <c r="P2462" s="6">
        <v>40747.720636574071</v>
      </c>
      <c r="Q2462" s="11"/>
      <c r="R2462" s="17" t="s">
        <v>1130</v>
      </c>
      <c r="S2462" s="16" t="s">
        <v>1131</v>
      </c>
      <c r="T2462" s="11"/>
      <c r="U2462" s="10" t="str">
        <f>HYPERLINK("https://pbs.twimg.com/profile_images/966330983829135360/yRqQ0NN1.jpg","View")</f>
        <v>View</v>
      </c>
    </row>
    <row r="2463" spans="1:21" ht="40.799999999999997">
      <c r="A2463" s="6">
        <v>43438.635555555556</v>
      </c>
      <c r="B2463" s="7" t="str">
        <f>HYPERLINK("https://twitter.com/FranjhZ","@FranjhZ")</f>
        <v>@FranjhZ</v>
      </c>
      <c r="C2463" s="8" t="s">
        <v>2598</v>
      </c>
      <c r="D2463" s="9" t="s">
        <v>8319</v>
      </c>
      <c r="E2463" s="10" t="str">
        <f>HYPERLINK("https://twitter.com/FranjhZ/status/1069958302065455105","1069958302065455105")</f>
        <v>1069958302065455105</v>
      </c>
      <c r="F2463" s="11"/>
      <c r="G2463" s="16" t="s">
        <v>8320</v>
      </c>
      <c r="H2463" s="11"/>
      <c r="I2463" s="12">
        <v>0</v>
      </c>
      <c r="J2463" s="12">
        <v>0</v>
      </c>
      <c r="K2463" s="13" t="str">
        <f t="shared" si="558"/>
        <v>Twitter for Android</v>
      </c>
      <c r="L2463" s="12">
        <v>602</v>
      </c>
      <c r="M2463" s="12">
        <v>105</v>
      </c>
      <c r="N2463" s="12">
        <v>15</v>
      </c>
      <c r="O2463" s="14"/>
      <c r="P2463" s="6">
        <v>40220.730543981481</v>
      </c>
      <c r="Q2463" s="15" t="s">
        <v>2600</v>
      </c>
      <c r="R2463" s="17" t="s">
        <v>2601</v>
      </c>
      <c r="S2463" s="16" t="s">
        <v>2602</v>
      </c>
      <c r="T2463" s="11"/>
      <c r="U2463" s="10" t="str">
        <f>HYPERLINK("https://pbs.twimg.com/profile_images/1070781651725312000/ZBNShSQL.jpg","View")</f>
        <v>View</v>
      </c>
    </row>
    <row r="2464" spans="1:21" ht="30.6">
      <c r="A2464" s="6">
        <v>43438.635509259257</v>
      </c>
      <c r="B2464" s="7" t="str">
        <f>HYPERLINK("https://twitter.com/ProfetaEr","@ProfetaEr")</f>
        <v>@ProfetaEr</v>
      </c>
      <c r="C2464" s="8" t="s">
        <v>8321</v>
      </c>
      <c r="D2464" s="9" t="s">
        <v>8322</v>
      </c>
      <c r="E2464" s="10" t="str">
        <f>HYPERLINK("https://twitter.com/ProfetaEr/status/1069958285602775040","1069958285602775040")</f>
        <v>1069958285602775040</v>
      </c>
      <c r="F2464" s="11"/>
      <c r="G2464" s="11"/>
      <c r="H2464" s="11"/>
      <c r="I2464" s="12">
        <v>0</v>
      </c>
      <c r="J2464" s="12">
        <v>0</v>
      </c>
      <c r="K2464" s="13" t="str">
        <f t="shared" si="558"/>
        <v>Twitter for Android</v>
      </c>
      <c r="L2464" s="12">
        <v>7</v>
      </c>
      <c r="M2464" s="12">
        <v>51</v>
      </c>
      <c r="N2464" s="12">
        <v>0</v>
      </c>
      <c r="O2464" s="14"/>
      <c r="P2464" s="6">
        <v>43437.605104166665</v>
      </c>
      <c r="Q2464" s="15" t="s">
        <v>8323</v>
      </c>
      <c r="R2464" s="17" t="s">
        <v>8324</v>
      </c>
      <c r="S2464" s="11"/>
      <c r="T2464" s="11"/>
      <c r="U2464" s="10" t="str">
        <f>HYPERLINK("https://pbs.twimg.com/profile_images/1069586608750567425/YPVq1ikC.jpg","View")</f>
        <v>View</v>
      </c>
    </row>
    <row r="2465" spans="1:21" ht="51">
      <c r="A2465" s="6">
        <v>43438.634884259256</v>
      </c>
      <c r="B2465" s="7" t="str">
        <f>HYPERLINK("https://twitter.com/lehrerbund","@lehrerbund")</f>
        <v>@lehrerbund</v>
      </c>
      <c r="C2465" s="8" t="s">
        <v>8325</v>
      </c>
      <c r="D2465" s="9" t="s">
        <v>8326</v>
      </c>
      <c r="E2465" s="10" t="str">
        <f>HYPERLINK("https://twitter.com/lehrerbund/status/1069958058464423936","1069958058464423936")</f>
        <v>1069958058464423936</v>
      </c>
      <c r="F2465" s="16" t="s">
        <v>1568</v>
      </c>
      <c r="G2465" s="11"/>
      <c r="H2465" s="11"/>
      <c r="I2465" s="12">
        <v>0</v>
      </c>
      <c r="J2465" s="12">
        <v>0</v>
      </c>
      <c r="K2465" s="13" t="str">
        <f t="shared" si="558"/>
        <v>Twitter for Android</v>
      </c>
      <c r="L2465" s="12">
        <v>92</v>
      </c>
      <c r="M2465" s="12">
        <v>713</v>
      </c>
      <c r="N2465" s="12">
        <v>0</v>
      </c>
      <c r="O2465" s="14"/>
      <c r="P2465" s="6">
        <v>43399.678437499999</v>
      </c>
      <c r="Q2465" s="15" t="s">
        <v>2344</v>
      </c>
      <c r="R2465" s="17" t="s">
        <v>8327</v>
      </c>
      <c r="S2465" s="11"/>
      <c r="T2465" s="11"/>
      <c r="U2465" s="10" t="str">
        <f>HYPERLINK("https://pbs.twimg.com/profile_images/1055831820271603713/1uTiCAiA.jpg","View")</f>
        <v>View</v>
      </c>
    </row>
    <row r="2466" spans="1:21" ht="40.799999999999997">
      <c r="A2466" s="6">
        <v>43438.634710648148</v>
      </c>
      <c r="B2466" s="7" t="str">
        <f>HYPERLINK("https://twitter.com/youruguayo","@youruguayo")</f>
        <v>@youruguayo</v>
      </c>
      <c r="C2466" s="8" t="s">
        <v>8328</v>
      </c>
      <c r="D2466" s="9" t="s">
        <v>8329</v>
      </c>
      <c r="E2466" s="10" t="str">
        <f>HYPERLINK("https://twitter.com/youruguayo/status/1069957994216071170","1069957994216071170")</f>
        <v>1069957994216071170</v>
      </c>
      <c r="F2466" s="11"/>
      <c r="G2466" s="16" t="s">
        <v>8330</v>
      </c>
      <c r="H2466" s="11"/>
      <c r="I2466" s="12">
        <v>1</v>
      </c>
      <c r="J2466" s="12">
        <v>1</v>
      </c>
      <c r="K2466" s="13" t="str">
        <f>HYPERLINK("http://twitter.com","Twitter Web Client")</f>
        <v>Twitter Web Client</v>
      </c>
      <c r="L2466" s="12">
        <v>1182</v>
      </c>
      <c r="M2466" s="12">
        <v>3178</v>
      </c>
      <c r="N2466" s="12">
        <v>12</v>
      </c>
      <c r="O2466" s="14"/>
      <c r="P2466" s="6">
        <v>40297.81013888889</v>
      </c>
      <c r="Q2466" s="15" t="s">
        <v>8331</v>
      </c>
      <c r="R2466" s="17" t="s">
        <v>8332</v>
      </c>
      <c r="S2466" s="11"/>
      <c r="T2466" s="11"/>
      <c r="U2466" s="10" t="str">
        <f>HYPERLINK("https://pbs.twimg.com/profile_images/979432564279652352/i3ev-YlH.jpg","View")</f>
        <v>View</v>
      </c>
    </row>
    <row r="2467" spans="1:21" ht="40.799999999999997">
      <c r="A2467" s="6">
        <v>43438.632858796293</v>
      </c>
      <c r="B2467" s="7" t="str">
        <f>HYPERLINK("https://twitter.com/TransUPM","@TransUPM")</f>
        <v>@TransUPM</v>
      </c>
      <c r="C2467" s="8" t="s">
        <v>293</v>
      </c>
      <c r="D2467" s="9" t="s">
        <v>8333</v>
      </c>
      <c r="E2467" s="10" t="str">
        <f>HYPERLINK("https://twitter.com/TransUPM/status/1069957325425950720","1069957325425950720")</f>
        <v>1069957325425950720</v>
      </c>
      <c r="F2467" s="15" t="s">
        <v>8334</v>
      </c>
      <c r="G2467" s="11"/>
      <c r="H2467" s="11"/>
      <c r="I2467" s="12">
        <v>0</v>
      </c>
      <c r="J2467" s="12">
        <v>1</v>
      </c>
      <c r="K2467" s="13" t="str">
        <f>HYPERLINK("http://twitter.com/#!/download/ipad","Twitter for iPad")</f>
        <v>Twitter for iPad</v>
      </c>
      <c r="L2467" s="12">
        <v>742</v>
      </c>
      <c r="M2467" s="12">
        <v>748</v>
      </c>
      <c r="N2467" s="12">
        <v>25</v>
      </c>
      <c r="O2467" s="14"/>
      <c r="P2467" s="6">
        <v>40990.723449074074</v>
      </c>
      <c r="Q2467" s="15" t="s">
        <v>296</v>
      </c>
      <c r="R2467" s="17" t="s">
        <v>297</v>
      </c>
      <c r="S2467" s="11"/>
      <c r="T2467" s="11"/>
      <c r="U2467" s="10" t="str">
        <f>HYPERLINK("https://pbs.twimg.com/profile_images/991114054189109250/998-LfOp.jpg","View")</f>
        <v>View</v>
      </c>
    </row>
    <row r="2468" spans="1:21" ht="30.6">
      <c r="A2468" s="6">
        <v>43438.631192129629</v>
      </c>
      <c r="B2468" s="7" t="str">
        <f>HYPERLINK("https://twitter.com/Jose67449544","@Jose67449544")</f>
        <v>@Jose67449544</v>
      </c>
      <c r="C2468" s="8" t="s">
        <v>238</v>
      </c>
      <c r="D2468" s="9" t="s">
        <v>8335</v>
      </c>
      <c r="E2468" s="10" t="str">
        <f>HYPERLINK("https://twitter.com/Jose67449544/status/1069956721345474561","1069956721345474561")</f>
        <v>1069956721345474561</v>
      </c>
      <c r="F2468" s="11"/>
      <c r="G2468" s="11"/>
      <c r="H2468" s="11"/>
      <c r="I2468" s="12">
        <v>0</v>
      </c>
      <c r="J2468" s="12">
        <v>0</v>
      </c>
      <c r="K2468" s="13" t="str">
        <f>HYPERLINK("https://mobile.twitter.com","Twitter Lite")</f>
        <v>Twitter Lite</v>
      </c>
      <c r="L2468" s="12">
        <v>82</v>
      </c>
      <c r="M2468" s="12">
        <v>40</v>
      </c>
      <c r="N2468" s="12">
        <v>3</v>
      </c>
      <c r="O2468" s="14"/>
      <c r="P2468" s="6">
        <v>43138.864247685182</v>
      </c>
      <c r="Q2468" s="11"/>
      <c r="R2468" s="17" t="s">
        <v>8336</v>
      </c>
      <c r="S2468" s="11"/>
      <c r="T2468" s="11"/>
      <c r="U2468" s="10" t="str">
        <f>HYPERLINK("https://pbs.twimg.com/profile_images/1068127458107510784/dtwNaUUl.jpg","View")</f>
        <v>View</v>
      </c>
    </row>
    <row r="2469" spans="1:21" ht="51">
      <c r="A2469" s="6">
        <v>43438.630995370375</v>
      </c>
      <c r="B2469" s="7" t="str">
        <f>HYPERLINK("https://twitter.com/rocioperezdeaya","@rocioperezdeaya")</f>
        <v>@rocioperezdeaya</v>
      </c>
      <c r="C2469" s="8" t="s">
        <v>2877</v>
      </c>
      <c r="D2469" s="9" t="s">
        <v>8337</v>
      </c>
      <c r="E2469" s="10" t="str">
        <f>HYPERLINK("https://twitter.com/rocioperezdeaya/status/1069956649635508225","1069956649635508225")</f>
        <v>1069956649635508225</v>
      </c>
      <c r="F2469" s="11"/>
      <c r="G2469" s="11"/>
      <c r="H2469" s="11"/>
      <c r="I2469" s="12">
        <v>0</v>
      </c>
      <c r="J2469" s="12">
        <v>2</v>
      </c>
      <c r="K2469" s="13" t="str">
        <f t="shared" ref="K2469:K2470" si="559">HYPERLINK("http://twitter.com/download/iphone","Twitter for iPhone")</f>
        <v>Twitter for iPhone</v>
      </c>
      <c r="L2469" s="12">
        <v>154</v>
      </c>
      <c r="M2469" s="12">
        <v>289</v>
      </c>
      <c r="N2469" s="12">
        <v>0</v>
      </c>
      <c r="O2469" s="14"/>
      <c r="P2469" s="6">
        <v>40265.710532407407</v>
      </c>
      <c r="Q2469" s="15" t="s">
        <v>2880</v>
      </c>
      <c r="R2469" s="18"/>
      <c r="S2469" s="11"/>
      <c r="T2469" s="11"/>
      <c r="U2469" s="10" t="str">
        <f>HYPERLINK("https://pbs.twimg.com/profile_images/685208043605352450/bD2ztUI-.jpg","View")</f>
        <v>View</v>
      </c>
    </row>
    <row r="2470" spans="1:21" ht="81.599999999999994">
      <c r="A2470" s="6">
        <v>43438.630925925929</v>
      </c>
      <c r="B2470" s="7" t="str">
        <f>HYPERLINK("https://twitter.com/joaquinsuertudo","@joaquinsuertudo")</f>
        <v>@joaquinsuertudo</v>
      </c>
      <c r="C2470" s="8" t="s">
        <v>48</v>
      </c>
      <c r="D2470" s="9" t="s">
        <v>49</v>
      </c>
      <c r="E2470" s="10" t="str">
        <f>HYPERLINK("https://twitter.com/joaquinsuertudo/status/1069956621395247105","1069956621395247105")</f>
        <v>1069956621395247105</v>
      </c>
      <c r="F2470" s="16" t="s">
        <v>51</v>
      </c>
      <c r="G2470" s="16" t="s">
        <v>53</v>
      </c>
      <c r="H2470" s="11"/>
      <c r="I2470" s="12">
        <v>0</v>
      </c>
      <c r="J2470" s="12">
        <v>0</v>
      </c>
      <c r="K2470" s="13" t="str">
        <f t="shared" si="559"/>
        <v>Twitter for iPhone</v>
      </c>
      <c r="L2470" s="12">
        <v>723</v>
      </c>
      <c r="M2470" s="12">
        <v>1181</v>
      </c>
      <c r="N2470" s="12">
        <v>5</v>
      </c>
      <c r="O2470" s="14"/>
      <c r="P2470" s="6">
        <v>42660.82508101852</v>
      </c>
      <c r="Q2470" s="15" t="s">
        <v>54</v>
      </c>
      <c r="R2470" s="17" t="s">
        <v>55</v>
      </c>
      <c r="S2470" s="11"/>
      <c r="T2470" s="11"/>
      <c r="U2470" s="10" t="str">
        <f>HYPERLINK("https://pbs.twimg.com/profile_images/988432151124299776/32j46Kw-.jpg","View")</f>
        <v>View</v>
      </c>
    </row>
    <row r="2471" spans="1:21" ht="40.799999999999997">
      <c r="A2471" s="6">
        <v>43438.630682870367</v>
      </c>
      <c r="B2471" s="7" t="str">
        <f>HYPERLINK("https://twitter.com/CorralesAs","@CorralesAs")</f>
        <v>@CorralesAs</v>
      </c>
      <c r="C2471" s="8" t="s">
        <v>6701</v>
      </c>
      <c r="D2471" s="9" t="s">
        <v>8338</v>
      </c>
      <c r="E2471" s="10" t="str">
        <f>HYPERLINK("https://twitter.com/CorralesAs/status/1069956536364163072","1069956536364163072")</f>
        <v>1069956536364163072</v>
      </c>
      <c r="F2471" s="11"/>
      <c r="G2471" s="16" t="s">
        <v>8339</v>
      </c>
      <c r="H2471" s="11"/>
      <c r="I2471" s="12">
        <v>0</v>
      </c>
      <c r="J2471" s="12">
        <v>2</v>
      </c>
      <c r="K2471" s="13" t="str">
        <f t="shared" ref="K2471:K2473" si="560">HYPERLINK("http://twitter.com/download/android","Twitter for Android")</f>
        <v>Twitter for Android</v>
      </c>
      <c r="L2471" s="12">
        <v>63</v>
      </c>
      <c r="M2471" s="12">
        <v>173</v>
      </c>
      <c r="N2471" s="12">
        <v>0</v>
      </c>
      <c r="O2471" s="14"/>
      <c r="P2471" s="6">
        <v>41808.054282407407</v>
      </c>
      <c r="Q2471" s="11"/>
      <c r="R2471" s="17" t="s">
        <v>6703</v>
      </c>
      <c r="S2471" s="11"/>
      <c r="T2471" s="11"/>
      <c r="U2471" s="10" t="str">
        <f>HYPERLINK("https://pbs.twimg.com/profile_images/1050366080772972545/HngsK-Vp.jpg","View")</f>
        <v>View</v>
      </c>
    </row>
    <row r="2472" spans="1:21" ht="40.799999999999997">
      <c r="A2472" s="6">
        <v>43438.629756944443</v>
      </c>
      <c r="B2472" s="7" t="str">
        <f>HYPERLINK("https://twitter.com/FranjhZ","@FranjhZ")</f>
        <v>@FranjhZ</v>
      </c>
      <c r="C2472" s="8" t="s">
        <v>2598</v>
      </c>
      <c r="D2472" s="9" t="s">
        <v>8340</v>
      </c>
      <c r="E2472" s="10" t="str">
        <f>HYPERLINK("https://twitter.com/FranjhZ/status/1069956200354205696","1069956200354205696")</f>
        <v>1069956200354205696</v>
      </c>
      <c r="F2472" s="16" t="s">
        <v>8341</v>
      </c>
      <c r="G2472" s="11"/>
      <c r="H2472" s="11"/>
      <c r="I2472" s="12">
        <v>0</v>
      </c>
      <c r="J2472" s="12">
        <v>0</v>
      </c>
      <c r="K2472" s="13" t="str">
        <f t="shared" si="560"/>
        <v>Twitter for Android</v>
      </c>
      <c r="L2472" s="12">
        <v>602</v>
      </c>
      <c r="M2472" s="12">
        <v>105</v>
      </c>
      <c r="N2472" s="12">
        <v>15</v>
      </c>
      <c r="O2472" s="14"/>
      <c r="P2472" s="6">
        <v>40220.730543981481</v>
      </c>
      <c r="Q2472" s="15" t="s">
        <v>2600</v>
      </c>
      <c r="R2472" s="17" t="s">
        <v>2601</v>
      </c>
      <c r="S2472" s="16" t="s">
        <v>2602</v>
      </c>
      <c r="T2472" s="11"/>
      <c r="U2472" s="10" t="str">
        <f>HYPERLINK("https://pbs.twimg.com/profile_images/1070781651725312000/ZBNShSQL.jpg","View")</f>
        <v>View</v>
      </c>
    </row>
    <row r="2473" spans="1:21" ht="30.6">
      <c r="A2473" s="6">
        <v>43438.629502314812</v>
      </c>
      <c r="B2473" s="7" t="str">
        <f>HYPERLINK("https://twitter.com/IJReilly2","@IJReilly2")</f>
        <v>@IJReilly2</v>
      </c>
      <c r="C2473" s="8" t="s">
        <v>8342</v>
      </c>
      <c r="D2473" s="9" t="s">
        <v>8343</v>
      </c>
      <c r="E2473" s="10" t="str">
        <f>HYPERLINK("https://twitter.com/IJReilly2/status/1069956109488807938","1069956109488807938")</f>
        <v>1069956109488807938</v>
      </c>
      <c r="F2473" s="11"/>
      <c r="G2473" s="11"/>
      <c r="H2473" s="11"/>
      <c r="I2473" s="12">
        <v>0</v>
      </c>
      <c r="J2473" s="12">
        <v>0</v>
      </c>
      <c r="K2473" s="13" t="str">
        <f t="shared" si="560"/>
        <v>Twitter for Android</v>
      </c>
      <c r="L2473" s="12">
        <v>369</v>
      </c>
      <c r="M2473" s="12">
        <v>376</v>
      </c>
      <c r="N2473" s="12">
        <v>4</v>
      </c>
      <c r="O2473" s="14"/>
      <c r="P2473" s="6">
        <v>43062.609282407408</v>
      </c>
      <c r="Q2473" s="15" t="s">
        <v>8344</v>
      </c>
      <c r="R2473" s="17" t="s">
        <v>8345</v>
      </c>
      <c r="S2473" s="11"/>
      <c r="T2473" s="11"/>
      <c r="U2473" s="10" t="str">
        <f>HYPERLINK("https://pbs.twimg.com/profile_images/1070252221760237568/Hmvxso5E.jpg","View")</f>
        <v>View</v>
      </c>
    </row>
    <row r="2474" spans="1:21" ht="51">
      <c r="A2474" s="6">
        <v>43438.626388888893</v>
      </c>
      <c r="B2474" s="7" t="str">
        <f t="shared" ref="B2474:B2475" si="561">HYPERLINK("https://twitter.com/bitMomentum","@bitMomentum")</f>
        <v>@bitMomentum</v>
      </c>
      <c r="C2474" s="8" t="s">
        <v>82</v>
      </c>
      <c r="D2474" s="9" t="s">
        <v>8346</v>
      </c>
      <c r="E2474" s="10" t="str">
        <f>HYPERLINK("https://twitter.com/bitMomentum/status/1069954977630699520","1069954977630699520")</f>
        <v>1069954977630699520</v>
      </c>
      <c r="F2474" s="11"/>
      <c r="G2474" s="11"/>
      <c r="H2474" s="11"/>
      <c r="I2474" s="12">
        <v>0</v>
      </c>
      <c r="J2474" s="12">
        <v>0</v>
      </c>
      <c r="K2474" s="13" t="str">
        <f t="shared" ref="K2474:K2475" si="562">HYPERLINK("http://www.bitmomentum.com","bitMomentum Bot")</f>
        <v>bitMomentum Bot</v>
      </c>
      <c r="L2474" s="12">
        <v>10253</v>
      </c>
      <c r="M2474" s="12">
        <v>1059</v>
      </c>
      <c r="N2474" s="12">
        <v>263</v>
      </c>
      <c r="O2474" s="14"/>
      <c r="P2474" s="6">
        <v>41608.667511574073</v>
      </c>
      <c r="Q2474" s="11"/>
      <c r="R2474" s="17" t="s">
        <v>84</v>
      </c>
      <c r="S2474" s="16" t="s">
        <v>85</v>
      </c>
      <c r="T2474" s="11"/>
      <c r="U2474" s="10" t="str">
        <f t="shared" ref="U2474:U2475" si="563">HYPERLINK("https://pbs.twimg.com/profile_images/378800000862185241/20ij2H3u.png","View")</f>
        <v>View</v>
      </c>
    </row>
    <row r="2475" spans="1:21" ht="51">
      <c r="A2475" s="6">
        <v>43438.625694444447</v>
      </c>
      <c r="B2475" s="7" t="str">
        <f t="shared" si="561"/>
        <v>@bitMomentum</v>
      </c>
      <c r="C2475" s="8" t="s">
        <v>82</v>
      </c>
      <c r="D2475" s="9" t="s">
        <v>8347</v>
      </c>
      <c r="E2475" s="10" t="str">
        <f>HYPERLINK("https://twitter.com/bitMomentum/status/1069954726136082432","1069954726136082432")</f>
        <v>1069954726136082432</v>
      </c>
      <c r="F2475" s="11"/>
      <c r="G2475" s="11"/>
      <c r="H2475" s="11"/>
      <c r="I2475" s="12">
        <v>0</v>
      </c>
      <c r="J2475" s="12">
        <v>0</v>
      </c>
      <c r="K2475" s="13" t="str">
        <f t="shared" si="562"/>
        <v>bitMomentum Bot</v>
      </c>
      <c r="L2475" s="12">
        <v>10253</v>
      </c>
      <c r="M2475" s="12">
        <v>1059</v>
      </c>
      <c r="N2475" s="12">
        <v>263</v>
      </c>
      <c r="O2475" s="14"/>
      <c r="P2475" s="6">
        <v>41608.667511574073</v>
      </c>
      <c r="Q2475" s="11"/>
      <c r="R2475" s="17" t="s">
        <v>84</v>
      </c>
      <c r="S2475" s="16" t="s">
        <v>85</v>
      </c>
      <c r="T2475" s="11"/>
      <c r="U2475" s="10" t="str">
        <f t="shared" si="563"/>
        <v>View</v>
      </c>
    </row>
    <row r="2476" spans="1:21" ht="91.8">
      <c r="A2476" s="6">
        <v>43438.625659722224</v>
      </c>
      <c r="B2476" s="7" t="str">
        <f>HYPERLINK("https://twitter.com/TransUPM","@TransUPM")</f>
        <v>@TransUPM</v>
      </c>
      <c r="C2476" s="8" t="s">
        <v>293</v>
      </c>
      <c r="D2476" s="9" t="s">
        <v>8348</v>
      </c>
      <c r="E2476" s="10" t="str">
        <f>HYPERLINK("https://twitter.com/TransUPM/status/1069954716854116352","1069954716854116352")</f>
        <v>1069954716854116352</v>
      </c>
      <c r="F2476" s="16" t="s">
        <v>8349</v>
      </c>
      <c r="G2476" s="16" t="s">
        <v>8350</v>
      </c>
      <c r="H2476" s="11"/>
      <c r="I2476" s="12">
        <v>0</v>
      </c>
      <c r="J2476" s="12">
        <v>0</v>
      </c>
      <c r="K2476" s="13" t="str">
        <f>HYPERLINK("http://twitter.com/#!/download/ipad","Twitter for iPad")</f>
        <v>Twitter for iPad</v>
      </c>
      <c r="L2476" s="12">
        <v>742</v>
      </c>
      <c r="M2476" s="12">
        <v>748</v>
      </c>
      <c r="N2476" s="12">
        <v>25</v>
      </c>
      <c r="O2476" s="14"/>
      <c r="P2476" s="6">
        <v>40990.723449074074</v>
      </c>
      <c r="Q2476" s="15" t="s">
        <v>296</v>
      </c>
      <c r="R2476" s="17" t="s">
        <v>297</v>
      </c>
      <c r="S2476" s="11"/>
      <c r="T2476" s="11"/>
      <c r="U2476" s="10" t="str">
        <f>HYPERLINK("https://pbs.twimg.com/profile_images/991114054189109250/998-LfOp.jpg","View")</f>
        <v>View</v>
      </c>
    </row>
    <row r="2477" spans="1:21" ht="13.2">
      <c r="A2477" s="19"/>
      <c r="B2477" s="20"/>
      <c r="C2477" s="20"/>
      <c r="D2477" s="21"/>
      <c r="E2477" s="14"/>
      <c r="F2477" s="11"/>
      <c r="G2477" s="11"/>
      <c r="H2477" s="11"/>
      <c r="I2477" s="14"/>
      <c r="J2477" s="14"/>
      <c r="K2477" s="11"/>
      <c r="L2477" s="14"/>
      <c r="M2477" s="14"/>
      <c r="N2477" s="14"/>
      <c r="O2477" s="14"/>
      <c r="P2477" s="19"/>
      <c r="Q2477" s="11"/>
      <c r="R2477" s="18"/>
      <c r="S2477" s="11"/>
      <c r="T2477" s="11"/>
      <c r="U2477" s="14"/>
    </row>
    <row r="2478" spans="1:21" ht="13.2">
      <c r="A2478" s="22"/>
      <c r="B2478" s="20"/>
      <c r="C2478" s="20"/>
      <c r="D2478" s="21"/>
      <c r="E2478" s="14"/>
      <c r="F2478" s="14"/>
      <c r="G2478" s="14"/>
      <c r="H2478" s="14"/>
      <c r="I2478" s="14"/>
      <c r="J2478" s="14"/>
      <c r="K2478" s="14"/>
      <c r="L2478" s="14"/>
      <c r="M2478" s="14"/>
      <c r="N2478" s="14"/>
      <c r="O2478" s="14"/>
      <c r="P2478" s="14"/>
      <c r="Q2478" s="11"/>
      <c r="R2478" s="18"/>
      <c r="S2478" s="14"/>
      <c r="T2478" s="14"/>
      <c r="U2478" s="14"/>
    </row>
    <row r="2479" spans="1:21" ht="13.2">
      <c r="A2479" s="22"/>
      <c r="B2479" s="20"/>
      <c r="C2479" s="20"/>
      <c r="D2479" s="21"/>
      <c r="E2479" s="14"/>
      <c r="F2479" s="14"/>
      <c r="G2479" s="14"/>
      <c r="H2479" s="14"/>
      <c r="I2479" s="14"/>
      <c r="J2479" s="14"/>
      <c r="K2479" s="14"/>
      <c r="L2479" s="14"/>
      <c r="M2479" s="14"/>
      <c r="N2479" s="14"/>
      <c r="O2479" s="14"/>
      <c r="P2479" s="14"/>
      <c r="Q2479" s="11"/>
      <c r="R2479" s="18"/>
      <c r="S2479" s="14"/>
      <c r="T2479" s="14"/>
      <c r="U2479" s="14"/>
    </row>
    <row r="2480" spans="1:21" ht="13.2">
      <c r="A2480" s="22"/>
      <c r="B2480" s="20"/>
      <c r="C2480" s="20"/>
      <c r="D2480" s="21"/>
      <c r="E2480" s="14"/>
      <c r="F2480" s="14"/>
      <c r="G2480" s="14"/>
      <c r="H2480" s="14"/>
      <c r="I2480" s="14"/>
      <c r="J2480" s="14"/>
      <c r="K2480" s="14"/>
      <c r="L2480" s="14"/>
      <c r="M2480" s="14"/>
      <c r="N2480" s="14"/>
      <c r="O2480" s="14"/>
      <c r="P2480" s="14"/>
      <c r="Q2480" s="11"/>
      <c r="R2480" s="18"/>
      <c r="S2480" s="14"/>
      <c r="T2480" s="14"/>
      <c r="U2480" s="14"/>
    </row>
    <row r="2481" spans="1:21" ht="13.2">
      <c r="A2481" s="22"/>
      <c r="B2481" s="20"/>
      <c r="C2481" s="20"/>
      <c r="D2481" s="21"/>
      <c r="E2481" s="14"/>
      <c r="F2481" s="14"/>
      <c r="G2481" s="14"/>
      <c r="H2481" s="14"/>
      <c r="I2481" s="14"/>
      <c r="J2481" s="14"/>
      <c r="K2481" s="14"/>
      <c r="L2481" s="14"/>
      <c r="M2481" s="14"/>
      <c r="N2481" s="14"/>
      <c r="O2481" s="14"/>
      <c r="P2481" s="14"/>
      <c r="Q2481" s="11"/>
      <c r="R2481" s="18"/>
      <c r="S2481" s="14"/>
      <c r="T2481" s="14"/>
      <c r="U2481" s="14"/>
    </row>
    <row r="2482" spans="1:21" ht="13.2">
      <c r="A2482" s="22"/>
      <c r="B2482" s="20"/>
      <c r="C2482" s="20"/>
      <c r="D2482" s="21"/>
      <c r="E2482" s="14"/>
      <c r="F2482" s="14"/>
      <c r="G2482" s="14"/>
      <c r="H2482" s="14"/>
      <c r="I2482" s="14"/>
      <c r="J2482" s="14"/>
      <c r="K2482" s="14"/>
      <c r="L2482" s="14"/>
      <c r="M2482" s="14"/>
      <c r="N2482" s="14"/>
      <c r="O2482" s="14"/>
      <c r="P2482" s="14"/>
      <c r="Q2482" s="11"/>
      <c r="R2482" s="18"/>
      <c r="S2482" s="14"/>
      <c r="T2482" s="14"/>
      <c r="U2482" s="14"/>
    </row>
    <row r="2483" spans="1:21" ht="13.2">
      <c r="A2483" s="22"/>
      <c r="B2483" s="20"/>
      <c r="C2483" s="20"/>
      <c r="D2483" s="21"/>
      <c r="E2483" s="14"/>
      <c r="F2483" s="14"/>
      <c r="G2483" s="14"/>
      <c r="H2483" s="14"/>
      <c r="I2483" s="14"/>
      <c r="J2483" s="14"/>
      <c r="K2483" s="14"/>
      <c r="L2483" s="14"/>
      <c r="M2483" s="14"/>
      <c r="N2483" s="14"/>
      <c r="O2483" s="14"/>
      <c r="P2483" s="14"/>
      <c r="Q2483" s="11"/>
      <c r="R2483" s="18"/>
      <c r="S2483" s="14"/>
      <c r="T2483" s="14"/>
      <c r="U2483" s="14"/>
    </row>
    <row r="2484" spans="1:21" ht="13.2">
      <c r="A2484" s="23"/>
      <c r="B2484" s="20"/>
      <c r="C2484" s="20"/>
      <c r="D2484" s="21"/>
      <c r="E2484" s="14"/>
      <c r="F2484" s="14"/>
      <c r="G2484" s="14"/>
      <c r="H2484" s="14"/>
      <c r="I2484" s="14"/>
      <c r="J2484" s="14"/>
      <c r="K2484" s="14"/>
      <c r="L2484" s="14"/>
      <c r="M2484" s="14"/>
      <c r="N2484" s="14"/>
      <c r="O2484" s="14"/>
      <c r="P2484" s="14"/>
      <c r="Q2484" s="11"/>
      <c r="R2484" s="18"/>
      <c r="S2484" s="14"/>
      <c r="T2484" s="14"/>
      <c r="U2484" s="14"/>
    </row>
    <row r="2485" spans="1:21" ht="13.2">
      <c r="A2485" s="22"/>
      <c r="B2485" s="20"/>
      <c r="C2485" s="20"/>
      <c r="D2485" s="21"/>
      <c r="E2485" s="14"/>
      <c r="F2485" s="14"/>
      <c r="G2485" s="14"/>
      <c r="H2485" s="14"/>
      <c r="I2485" s="14"/>
      <c r="J2485" s="14"/>
      <c r="K2485" s="14"/>
      <c r="L2485" s="14"/>
      <c r="M2485" s="14"/>
      <c r="N2485" s="14"/>
      <c r="O2485" s="14"/>
      <c r="P2485" s="14"/>
      <c r="Q2485" s="11"/>
      <c r="R2485" s="18"/>
      <c r="S2485" s="14"/>
      <c r="T2485" s="14"/>
      <c r="U2485" s="14"/>
    </row>
    <row r="2486" spans="1:21" ht="13.2">
      <c r="A2486" s="22"/>
      <c r="B2486" s="20"/>
      <c r="C2486" s="20"/>
      <c r="D2486" s="21"/>
      <c r="E2486" s="14"/>
      <c r="F2486" s="14"/>
      <c r="G2486" s="14"/>
      <c r="H2486" s="14"/>
      <c r="I2486" s="14"/>
      <c r="J2486" s="14"/>
      <c r="K2486" s="14"/>
      <c r="L2486" s="14"/>
      <c r="M2486" s="14"/>
      <c r="N2486" s="14"/>
      <c r="O2486" s="14"/>
      <c r="P2486" s="14"/>
      <c r="Q2486" s="11"/>
      <c r="R2486" s="18"/>
      <c r="S2486" s="14"/>
      <c r="T2486" s="14"/>
      <c r="U2486" s="14"/>
    </row>
    <row r="2487" spans="1:21" ht="13.2">
      <c r="A2487" s="22"/>
      <c r="B2487" s="20"/>
      <c r="C2487" s="20"/>
      <c r="D2487" s="21"/>
      <c r="E2487" s="14"/>
      <c r="F2487" s="14"/>
      <c r="G2487" s="14"/>
      <c r="H2487" s="14"/>
      <c r="I2487" s="14"/>
      <c r="J2487" s="14"/>
      <c r="K2487" s="14"/>
      <c r="L2487" s="14"/>
      <c r="M2487" s="14"/>
      <c r="N2487" s="14"/>
      <c r="O2487" s="14"/>
      <c r="P2487" s="14"/>
      <c r="Q2487" s="11"/>
      <c r="R2487" s="18"/>
      <c r="S2487" s="14"/>
      <c r="T2487" s="14"/>
      <c r="U2487" s="14"/>
    </row>
    <row r="2488" spans="1:21" ht="13.2">
      <c r="A2488" s="22"/>
      <c r="B2488" s="20"/>
      <c r="C2488" s="20"/>
      <c r="D2488" s="21"/>
      <c r="E2488" s="14"/>
      <c r="F2488" s="14"/>
      <c r="G2488" s="14"/>
      <c r="H2488" s="14"/>
      <c r="I2488" s="14"/>
      <c r="J2488" s="14"/>
      <c r="K2488" s="14"/>
      <c r="L2488" s="14"/>
      <c r="M2488" s="14"/>
      <c r="N2488" s="14"/>
      <c r="O2488" s="14"/>
      <c r="P2488" s="14"/>
      <c r="Q2488" s="11"/>
      <c r="R2488" s="18"/>
      <c r="S2488" s="14"/>
      <c r="T2488" s="14"/>
      <c r="U2488" s="14"/>
    </row>
    <row r="2489" spans="1:21" ht="13.2">
      <c r="A2489" s="22"/>
      <c r="B2489" s="20"/>
      <c r="C2489" s="20"/>
      <c r="D2489" s="21"/>
      <c r="E2489" s="14"/>
      <c r="F2489" s="14"/>
      <c r="G2489" s="14"/>
      <c r="H2489" s="14"/>
      <c r="I2489" s="14"/>
      <c r="J2489" s="14"/>
      <c r="K2489" s="14"/>
      <c r="L2489" s="14"/>
      <c r="M2489" s="14"/>
      <c r="N2489" s="14"/>
      <c r="O2489" s="14"/>
      <c r="P2489" s="14"/>
      <c r="Q2489" s="11"/>
      <c r="R2489" s="18"/>
      <c r="S2489" s="14"/>
      <c r="T2489" s="14"/>
      <c r="U2489" s="14"/>
    </row>
    <row r="2490" spans="1:21" ht="13.2">
      <c r="A2490" s="22"/>
      <c r="B2490" s="20"/>
      <c r="C2490" s="20"/>
      <c r="D2490" s="21"/>
      <c r="E2490" s="14"/>
      <c r="F2490" s="14"/>
      <c r="G2490" s="14"/>
      <c r="H2490" s="14"/>
      <c r="I2490" s="14"/>
      <c r="J2490" s="14"/>
      <c r="K2490" s="14"/>
      <c r="L2490" s="14"/>
      <c r="M2490" s="14"/>
      <c r="N2490" s="14"/>
      <c r="O2490" s="14"/>
      <c r="P2490" s="14"/>
      <c r="Q2490" s="11"/>
      <c r="R2490" s="18"/>
      <c r="S2490" s="14"/>
      <c r="T2490" s="14"/>
      <c r="U2490" s="14"/>
    </row>
    <row r="2491" spans="1:21" ht="13.2">
      <c r="A2491" s="22"/>
      <c r="B2491" s="20"/>
      <c r="C2491" s="20"/>
      <c r="D2491" s="21"/>
      <c r="E2491" s="14"/>
      <c r="F2491" s="14"/>
      <c r="G2491" s="14"/>
      <c r="H2491" s="14"/>
      <c r="I2491" s="14"/>
      <c r="J2491" s="14"/>
      <c r="K2491" s="14"/>
      <c r="L2491" s="14"/>
      <c r="M2491" s="14"/>
      <c r="N2491" s="14"/>
      <c r="O2491" s="14"/>
      <c r="P2491" s="14"/>
      <c r="Q2491" s="11"/>
      <c r="R2491" s="18"/>
      <c r="S2491" s="14"/>
      <c r="T2491" s="14"/>
      <c r="U2491" s="14"/>
    </row>
    <row r="2492" spans="1:21" ht="13.2">
      <c r="A2492" s="22"/>
      <c r="B2492" s="20"/>
      <c r="C2492" s="20"/>
      <c r="D2492" s="21"/>
      <c r="E2492" s="14"/>
      <c r="F2492" s="14"/>
      <c r="G2492" s="14"/>
      <c r="H2492" s="14"/>
      <c r="I2492" s="14"/>
      <c r="J2492" s="14"/>
      <c r="K2492" s="14"/>
      <c r="L2492" s="14"/>
      <c r="M2492" s="14"/>
      <c r="N2492" s="14"/>
      <c r="O2492" s="14"/>
      <c r="P2492" s="14"/>
      <c r="Q2492" s="11"/>
      <c r="R2492" s="18"/>
      <c r="S2492" s="14"/>
      <c r="T2492" s="14"/>
      <c r="U2492" s="14"/>
    </row>
    <row r="2493" spans="1:21" ht="13.2">
      <c r="A2493" s="22"/>
      <c r="B2493" s="20"/>
      <c r="C2493" s="20"/>
      <c r="D2493" s="21"/>
      <c r="E2493" s="14"/>
      <c r="F2493" s="14"/>
      <c r="G2493" s="14"/>
      <c r="H2493" s="14"/>
      <c r="I2493" s="14"/>
      <c r="J2493" s="14"/>
      <c r="K2493" s="14"/>
      <c r="L2493" s="14"/>
      <c r="M2493" s="14"/>
      <c r="N2493" s="14"/>
      <c r="O2493" s="14"/>
      <c r="P2493" s="14"/>
      <c r="Q2493" s="11"/>
      <c r="R2493" s="18"/>
      <c r="S2493" s="14"/>
      <c r="T2493" s="14"/>
      <c r="U2493" s="14"/>
    </row>
    <row r="2494" spans="1:21" ht="13.2">
      <c r="A2494" s="22"/>
      <c r="B2494" s="20"/>
      <c r="C2494" s="20"/>
      <c r="D2494" s="21"/>
      <c r="E2494" s="14"/>
      <c r="F2494" s="14"/>
      <c r="G2494" s="14"/>
      <c r="H2494" s="14"/>
      <c r="I2494" s="14"/>
      <c r="J2494" s="14"/>
      <c r="K2494" s="14"/>
      <c r="L2494" s="14"/>
      <c r="M2494" s="14"/>
      <c r="N2494" s="14"/>
      <c r="O2494" s="14"/>
      <c r="P2494" s="14"/>
      <c r="Q2494" s="11"/>
      <c r="R2494" s="18"/>
      <c r="S2494" s="14"/>
      <c r="T2494" s="14"/>
      <c r="U2494" s="14"/>
    </row>
    <row r="2495" spans="1:21" ht="13.2">
      <c r="A2495" s="22"/>
      <c r="B2495" s="20"/>
      <c r="C2495" s="20"/>
      <c r="D2495" s="21"/>
      <c r="E2495" s="14"/>
      <c r="F2495" s="14"/>
      <c r="G2495" s="14"/>
      <c r="H2495" s="14"/>
      <c r="I2495" s="14"/>
      <c r="J2495" s="14"/>
      <c r="K2495" s="14"/>
      <c r="L2495" s="14"/>
      <c r="M2495" s="14"/>
      <c r="N2495" s="14"/>
      <c r="O2495" s="14"/>
      <c r="P2495" s="14"/>
      <c r="Q2495" s="11"/>
      <c r="R2495" s="18"/>
      <c r="S2495" s="14"/>
      <c r="T2495" s="14"/>
      <c r="U2495" s="14"/>
    </row>
    <row r="2496" spans="1:21" ht="13.2">
      <c r="A2496" s="22"/>
      <c r="B2496" s="20"/>
      <c r="C2496" s="20"/>
      <c r="D2496" s="21"/>
      <c r="E2496" s="14"/>
      <c r="F2496" s="14"/>
      <c r="G2496" s="14"/>
      <c r="H2496" s="14"/>
      <c r="I2496" s="14"/>
      <c r="J2496" s="14"/>
      <c r="K2496" s="14"/>
      <c r="L2496" s="14"/>
      <c r="M2496" s="14"/>
      <c r="N2496" s="14"/>
      <c r="O2496" s="14"/>
      <c r="P2496" s="14"/>
      <c r="Q2496" s="11"/>
      <c r="R2496" s="18"/>
      <c r="S2496" s="14"/>
      <c r="T2496" s="14"/>
      <c r="U2496" s="14"/>
    </row>
    <row r="2497" spans="1:21" ht="13.2">
      <c r="A2497" s="22"/>
      <c r="B2497" s="20"/>
      <c r="C2497" s="20"/>
      <c r="D2497" s="21"/>
      <c r="E2497" s="14"/>
      <c r="F2497" s="14"/>
      <c r="G2497" s="14"/>
      <c r="H2497" s="14"/>
      <c r="I2497" s="14"/>
      <c r="J2497" s="14"/>
      <c r="K2497" s="14"/>
      <c r="L2497" s="14"/>
      <c r="M2497" s="14"/>
      <c r="N2497" s="14"/>
      <c r="O2497" s="14"/>
      <c r="P2497" s="14"/>
      <c r="Q2497" s="11"/>
      <c r="R2497" s="18"/>
      <c r="S2497" s="14"/>
      <c r="T2497" s="14"/>
      <c r="U2497" s="14"/>
    </row>
    <row r="2498" spans="1:21" ht="13.2">
      <c r="A2498" s="22"/>
      <c r="B2498" s="20"/>
      <c r="C2498" s="20"/>
      <c r="D2498" s="21"/>
      <c r="E2498" s="14"/>
      <c r="F2498" s="14"/>
      <c r="G2498" s="14"/>
      <c r="H2498" s="14"/>
      <c r="I2498" s="14"/>
      <c r="J2498" s="14"/>
      <c r="K2498" s="14"/>
      <c r="L2498" s="14"/>
      <c r="M2498" s="14"/>
      <c r="N2498" s="14"/>
      <c r="O2498" s="14"/>
      <c r="P2498" s="14"/>
      <c r="Q2498" s="11"/>
      <c r="R2498" s="18"/>
      <c r="S2498" s="14"/>
      <c r="T2498" s="14"/>
      <c r="U2498" s="14"/>
    </row>
    <row r="2499" spans="1:21" ht="13.2">
      <c r="A2499" s="22"/>
      <c r="B2499" s="20"/>
      <c r="C2499" s="20"/>
      <c r="D2499" s="21"/>
      <c r="E2499" s="14"/>
      <c r="F2499" s="14"/>
      <c r="G2499" s="14"/>
      <c r="H2499" s="14"/>
      <c r="I2499" s="14"/>
      <c r="J2499" s="14"/>
      <c r="K2499" s="14"/>
      <c r="L2499" s="14"/>
      <c r="M2499" s="14"/>
      <c r="N2499" s="14"/>
      <c r="O2499" s="14"/>
      <c r="P2499" s="14"/>
      <c r="Q2499" s="11"/>
      <c r="R2499" s="18"/>
      <c r="S2499" s="14"/>
      <c r="T2499" s="14"/>
      <c r="U2499" s="14"/>
    </row>
  </sheetData>
  <mergeCells count="2">
    <mergeCell ref="A1:K1"/>
    <mergeCell ref="L1:U1"/>
  </mergeCells>
  <hyperlinks>
    <hyperlink ref="F5" r:id="rId1" xr:uid="{00000000-0004-0000-0200-000000000000}"/>
    <hyperlink ref="S5" r:id="rId2" xr:uid="{00000000-0004-0000-0200-000001000000}"/>
    <hyperlink ref="F7" r:id="rId3" xr:uid="{00000000-0004-0000-0200-000002000000}"/>
    <hyperlink ref="S7" r:id="rId4" xr:uid="{00000000-0004-0000-0200-000003000000}"/>
    <hyperlink ref="F9" r:id="rId5" xr:uid="{00000000-0004-0000-0200-000004000000}"/>
    <hyperlink ref="G9" r:id="rId6" xr:uid="{00000000-0004-0000-0200-000005000000}"/>
    <hyperlink ref="F10" r:id="rId7" xr:uid="{00000000-0004-0000-0200-000006000000}"/>
    <hyperlink ref="G10" r:id="rId8" xr:uid="{00000000-0004-0000-0200-000007000000}"/>
    <hyperlink ref="S10" r:id="rId9" xr:uid="{00000000-0004-0000-0200-000008000000}"/>
    <hyperlink ref="F11" r:id="rId10" xr:uid="{00000000-0004-0000-0200-000009000000}"/>
    <hyperlink ref="S12" r:id="rId11" xr:uid="{00000000-0004-0000-0200-00000A000000}"/>
    <hyperlink ref="S13" r:id="rId12" xr:uid="{00000000-0004-0000-0200-00000B000000}"/>
    <hyperlink ref="F14" r:id="rId13" xr:uid="{00000000-0004-0000-0200-00000C000000}"/>
    <hyperlink ref="S14" r:id="rId14" xr:uid="{00000000-0004-0000-0200-00000D000000}"/>
    <hyperlink ref="S15" r:id="rId15" xr:uid="{00000000-0004-0000-0200-00000E000000}"/>
    <hyperlink ref="F16" r:id="rId16" xr:uid="{00000000-0004-0000-0200-00000F000000}"/>
    <hyperlink ref="S18" r:id="rId17" xr:uid="{00000000-0004-0000-0200-000010000000}"/>
    <hyperlink ref="G19" r:id="rId18" xr:uid="{00000000-0004-0000-0200-000011000000}"/>
    <hyperlink ref="G21" r:id="rId19" xr:uid="{00000000-0004-0000-0200-000012000000}"/>
    <hyperlink ref="S21" r:id="rId20" xr:uid="{00000000-0004-0000-0200-000013000000}"/>
    <hyperlink ref="S22" r:id="rId21" xr:uid="{00000000-0004-0000-0200-000014000000}"/>
    <hyperlink ref="F24" r:id="rId22" xr:uid="{00000000-0004-0000-0200-000015000000}"/>
    <hyperlink ref="G24" r:id="rId23" xr:uid="{00000000-0004-0000-0200-000016000000}"/>
    <hyperlink ref="S24" r:id="rId24" xr:uid="{00000000-0004-0000-0200-000017000000}"/>
    <hyperlink ref="F25" r:id="rId25" xr:uid="{00000000-0004-0000-0200-000018000000}"/>
    <hyperlink ref="F26" r:id="rId26" xr:uid="{00000000-0004-0000-0200-000019000000}"/>
    <hyperlink ref="G26" r:id="rId27" xr:uid="{00000000-0004-0000-0200-00001A000000}"/>
    <hyperlink ref="F27" r:id="rId28" xr:uid="{00000000-0004-0000-0200-00001B000000}"/>
    <hyperlink ref="S29" r:id="rId29" xr:uid="{00000000-0004-0000-0200-00001C000000}"/>
    <hyperlink ref="S30" r:id="rId30" xr:uid="{00000000-0004-0000-0200-00001D000000}"/>
    <hyperlink ref="F31" r:id="rId31" xr:uid="{00000000-0004-0000-0200-00001E000000}"/>
    <hyperlink ref="F32" r:id="rId32" xr:uid="{00000000-0004-0000-0200-00001F000000}"/>
    <hyperlink ref="F33" r:id="rId33" xr:uid="{00000000-0004-0000-0200-000020000000}"/>
    <hyperlink ref="G34" r:id="rId34" xr:uid="{00000000-0004-0000-0200-000021000000}"/>
    <hyperlink ref="G35" r:id="rId35" xr:uid="{00000000-0004-0000-0200-000022000000}"/>
    <hyperlink ref="S35" r:id="rId36" xr:uid="{00000000-0004-0000-0200-000023000000}"/>
    <hyperlink ref="F36" r:id="rId37" xr:uid="{00000000-0004-0000-0200-000024000000}"/>
    <hyperlink ref="F37" r:id="rId38" xr:uid="{00000000-0004-0000-0200-000025000000}"/>
    <hyperlink ref="G38" r:id="rId39" xr:uid="{00000000-0004-0000-0200-000026000000}"/>
    <hyperlink ref="C39" r:id="rId40" xr:uid="{00000000-0004-0000-0200-000027000000}"/>
    <hyperlink ref="F39" r:id="rId41" xr:uid="{00000000-0004-0000-0200-000028000000}"/>
    <hyperlink ref="S39" r:id="rId42" xr:uid="{00000000-0004-0000-0200-000029000000}"/>
    <hyperlink ref="F41" r:id="rId43" xr:uid="{00000000-0004-0000-0200-00002A000000}"/>
    <hyperlink ref="F42" r:id="rId44" xr:uid="{00000000-0004-0000-0200-00002B000000}"/>
    <hyperlink ref="S42" r:id="rId45" xr:uid="{00000000-0004-0000-0200-00002C000000}"/>
    <hyperlink ref="F43" r:id="rId46" xr:uid="{00000000-0004-0000-0200-00002D000000}"/>
    <hyperlink ref="F44" r:id="rId47" xr:uid="{00000000-0004-0000-0200-00002E000000}"/>
    <hyperlink ref="S44" r:id="rId48" xr:uid="{00000000-0004-0000-0200-00002F000000}"/>
    <hyperlink ref="F46" r:id="rId49" xr:uid="{00000000-0004-0000-0200-000030000000}"/>
    <hyperlink ref="F48" r:id="rId50" xr:uid="{00000000-0004-0000-0200-000031000000}"/>
    <hyperlink ref="S49" r:id="rId51" xr:uid="{00000000-0004-0000-0200-000032000000}"/>
    <hyperlink ref="S50" r:id="rId52" xr:uid="{00000000-0004-0000-0200-000033000000}"/>
    <hyperlink ref="F51" r:id="rId53" xr:uid="{00000000-0004-0000-0200-000034000000}"/>
    <hyperlink ref="G51" r:id="rId54" xr:uid="{00000000-0004-0000-0200-000035000000}"/>
    <hyperlink ref="F52" r:id="rId55" xr:uid="{00000000-0004-0000-0200-000036000000}"/>
    <hyperlink ref="G55" r:id="rId56" xr:uid="{00000000-0004-0000-0200-000037000000}"/>
    <hyperlink ref="F56" r:id="rId57" xr:uid="{00000000-0004-0000-0200-000038000000}"/>
    <hyperlink ref="G58" r:id="rId58" xr:uid="{00000000-0004-0000-0200-000039000000}"/>
    <hyperlink ref="F59" r:id="rId59" xr:uid="{00000000-0004-0000-0200-00003A000000}"/>
    <hyperlink ref="G59" r:id="rId60" xr:uid="{00000000-0004-0000-0200-00003B000000}"/>
    <hyperlink ref="F60" r:id="rId61" xr:uid="{00000000-0004-0000-0200-00003C000000}"/>
    <hyperlink ref="S61" r:id="rId62" xr:uid="{00000000-0004-0000-0200-00003D000000}"/>
    <hyperlink ref="S62" r:id="rId63" xr:uid="{00000000-0004-0000-0200-00003E000000}"/>
    <hyperlink ref="S63" r:id="rId64" xr:uid="{00000000-0004-0000-0200-00003F000000}"/>
    <hyperlink ref="F64" r:id="rId65" xr:uid="{00000000-0004-0000-0200-000040000000}"/>
    <hyperlink ref="S64" r:id="rId66" xr:uid="{00000000-0004-0000-0200-000041000000}"/>
    <hyperlink ref="F65" r:id="rId67" xr:uid="{00000000-0004-0000-0200-000042000000}"/>
    <hyperlink ref="S66" r:id="rId68" xr:uid="{00000000-0004-0000-0200-000043000000}"/>
    <hyperlink ref="G69" r:id="rId69" xr:uid="{00000000-0004-0000-0200-000044000000}"/>
    <hyperlink ref="F73" r:id="rId70" location=".XAu3T4TvcCM.twitter" xr:uid="{00000000-0004-0000-0200-000045000000}"/>
    <hyperlink ref="F75" r:id="rId71" xr:uid="{00000000-0004-0000-0200-000046000000}"/>
    <hyperlink ref="G77" r:id="rId72" xr:uid="{00000000-0004-0000-0200-000047000000}"/>
    <hyperlink ref="F78" r:id="rId73" xr:uid="{00000000-0004-0000-0200-000048000000}"/>
    <hyperlink ref="F79" r:id="rId74" xr:uid="{00000000-0004-0000-0200-000049000000}"/>
    <hyperlink ref="S81" r:id="rId75" xr:uid="{00000000-0004-0000-0200-00004A000000}"/>
    <hyperlink ref="S82" r:id="rId76" xr:uid="{00000000-0004-0000-0200-00004B000000}"/>
    <hyperlink ref="F83" r:id="rId77" xr:uid="{00000000-0004-0000-0200-00004C000000}"/>
    <hyperlink ref="S87" r:id="rId78" xr:uid="{00000000-0004-0000-0200-00004D000000}"/>
    <hyperlink ref="G89" r:id="rId79" xr:uid="{00000000-0004-0000-0200-00004E000000}"/>
    <hyperlink ref="F90" r:id="rId80" xr:uid="{00000000-0004-0000-0200-00004F000000}"/>
    <hyperlink ref="S90" r:id="rId81" xr:uid="{00000000-0004-0000-0200-000050000000}"/>
    <hyperlink ref="F92" r:id="rId82" xr:uid="{00000000-0004-0000-0200-000051000000}"/>
    <hyperlink ref="G93" r:id="rId83" xr:uid="{00000000-0004-0000-0200-000052000000}"/>
    <hyperlink ref="R93" r:id="rId84" xr:uid="{00000000-0004-0000-0200-000053000000}"/>
    <hyperlink ref="S93" r:id="rId85" xr:uid="{00000000-0004-0000-0200-000054000000}"/>
    <hyperlink ref="F96" r:id="rId86" location="click=https://t.co/tzZeOyumEB" xr:uid="{00000000-0004-0000-0200-000055000000}"/>
    <hyperlink ref="F97" r:id="rId87" xr:uid="{00000000-0004-0000-0200-000056000000}"/>
    <hyperlink ref="G99" r:id="rId88" xr:uid="{00000000-0004-0000-0200-000057000000}"/>
    <hyperlink ref="G100" r:id="rId89" xr:uid="{00000000-0004-0000-0200-000058000000}"/>
    <hyperlink ref="G101" r:id="rId90" xr:uid="{00000000-0004-0000-0200-000059000000}"/>
    <hyperlink ref="S102" r:id="rId91" xr:uid="{00000000-0004-0000-0200-00005A000000}"/>
    <hyperlink ref="S103" r:id="rId92" xr:uid="{00000000-0004-0000-0200-00005B000000}"/>
    <hyperlink ref="F104" r:id="rId93" xr:uid="{00000000-0004-0000-0200-00005C000000}"/>
    <hyperlink ref="G104" r:id="rId94" xr:uid="{00000000-0004-0000-0200-00005D000000}"/>
    <hyperlink ref="S104" r:id="rId95" xr:uid="{00000000-0004-0000-0200-00005E000000}"/>
    <hyperlink ref="F105" r:id="rId96" xr:uid="{00000000-0004-0000-0200-00005F000000}"/>
    <hyperlink ref="G106" r:id="rId97" xr:uid="{00000000-0004-0000-0200-000060000000}"/>
    <hyperlink ref="F107" r:id="rId98" xr:uid="{00000000-0004-0000-0200-000061000000}"/>
    <hyperlink ref="S107" r:id="rId99" xr:uid="{00000000-0004-0000-0200-000062000000}"/>
    <hyperlink ref="G108" r:id="rId100" xr:uid="{00000000-0004-0000-0200-000063000000}"/>
    <hyperlink ref="G109" r:id="rId101" xr:uid="{00000000-0004-0000-0200-000064000000}"/>
    <hyperlink ref="F110" r:id="rId102" xr:uid="{00000000-0004-0000-0200-000065000000}"/>
    <hyperlink ref="S112" r:id="rId103" xr:uid="{00000000-0004-0000-0200-000066000000}"/>
    <hyperlink ref="F113" r:id="rId104" xr:uid="{00000000-0004-0000-0200-000067000000}"/>
    <hyperlink ref="S114" r:id="rId105" xr:uid="{00000000-0004-0000-0200-000068000000}"/>
    <hyperlink ref="F115" r:id="rId106" xr:uid="{00000000-0004-0000-0200-000069000000}"/>
    <hyperlink ref="G115" r:id="rId107" xr:uid="{00000000-0004-0000-0200-00006A000000}"/>
    <hyperlink ref="F116" r:id="rId108" xr:uid="{00000000-0004-0000-0200-00006B000000}"/>
    <hyperlink ref="G116" r:id="rId109" xr:uid="{00000000-0004-0000-0200-00006C000000}"/>
    <hyperlink ref="F117" r:id="rId110" xr:uid="{00000000-0004-0000-0200-00006D000000}"/>
    <hyperlink ref="S118" r:id="rId111" xr:uid="{00000000-0004-0000-0200-00006E000000}"/>
    <hyperlink ref="F119" r:id="rId112" xr:uid="{00000000-0004-0000-0200-00006F000000}"/>
    <hyperlink ref="F121" r:id="rId113" xr:uid="{00000000-0004-0000-0200-000070000000}"/>
    <hyperlink ref="S121" r:id="rId114" xr:uid="{00000000-0004-0000-0200-000071000000}"/>
    <hyperlink ref="G122" r:id="rId115" xr:uid="{00000000-0004-0000-0200-000072000000}"/>
    <hyperlink ref="F123" r:id="rId116" xr:uid="{00000000-0004-0000-0200-000073000000}"/>
    <hyperlink ref="F124" r:id="rId117" xr:uid="{00000000-0004-0000-0200-000074000000}"/>
    <hyperlink ref="G124" r:id="rId118" xr:uid="{00000000-0004-0000-0200-000075000000}"/>
    <hyperlink ref="F125" r:id="rId119" xr:uid="{00000000-0004-0000-0200-000076000000}"/>
    <hyperlink ref="S125" r:id="rId120" xr:uid="{00000000-0004-0000-0200-000077000000}"/>
    <hyperlink ref="F126" r:id="rId121" xr:uid="{00000000-0004-0000-0200-000078000000}"/>
    <hyperlink ref="G126" r:id="rId122" xr:uid="{00000000-0004-0000-0200-000079000000}"/>
    <hyperlink ref="S126" r:id="rId123" xr:uid="{00000000-0004-0000-0200-00007A000000}"/>
    <hyperlink ref="F127" r:id="rId124" xr:uid="{00000000-0004-0000-0200-00007B000000}"/>
    <hyperlink ref="S127" r:id="rId125" xr:uid="{00000000-0004-0000-0200-00007C000000}"/>
    <hyperlink ref="F128" r:id="rId126" xr:uid="{00000000-0004-0000-0200-00007D000000}"/>
    <hyperlink ref="G128" r:id="rId127" xr:uid="{00000000-0004-0000-0200-00007E000000}"/>
    <hyperlink ref="S128" r:id="rId128" xr:uid="{00000000-0004-0000-0200-00007F000000}"/>
    <hyperlink ref="F129" r:id="rId129" xr:uid="{00000000-0004-0000-0200-000080000000}"/>
    <hyperlink ref="F130" r:id="rId130" xr:uid="{00000000-0004-0000-0200-000081000000}"/>
    <hyperlink ref="G130" r:id="rId131" xr:uid="{00000000-0004-0000-0200-000082000000}"/>
    <hyperlink ref="S131" r:id="rId132" xr:uid="{00000000-0004-0000-0200-000083000000}"/>
    <hyperlink ref="S132" r:id="rId133" xr:uid="{00000000-0004-0000-0200-000084000000}"/>
    <hyperlink ref="G133" r:id="rId134" xr:uid="{00000000-0004-0000-0200-000085000000}"/>
    <hyperlink ref="F134" r:id="rId135" xr:uid="{00000000-0004-0000-0200-000086000000}"/>
    <hyperlink ref="G135" r:id="rId136" xr:uid="{00000000-0004-0000-0200-000087000000}"/>
    <hyperlink ref="S136" r:id="rId137" xr:uid="{00000000-0004-0000-0200-000088000000}"/>
    <hyperlink ref="G137" r:id="rId138" xr:uid="{00000000-0004-0000-0200-000089000000}"/>
    <hyperlink ref="S137" r:id="rId139" xr:uid="{00000000-0004-0000-0200-00008A000000}"/>
    <hyperlink ref="F138" r:id="rId140" xr:uid="{00000000-0004-0000-0200-00008B000000}"/>
    <hyperlink ref="S138" r:id="rId141" xr:uid="{00000000-0004-0000-0200-00008C000000}"/>
    <hyperlink ref="G140" r:id="rId142" xr:uid="{00000000-0004-0000-0200-00008D000000}"/>
    <hyperlink ref="F141" r:id="rId143" location="Echobox=1544256188" xr:uid="{00000000-0004-0000-0200-00008E000000}"/>
    <hyperlink ref="S141" r:id="rId144" xr:uid="{00000000-0004-0000-0200-00008F000000}"/>
    <hyperlink ref="F143" r:id="rId145" xr:uid="{00000000-0004-0000-0200-000090000000}"/>
    <hyperlink ref="F145" r:id="rId146" xr:uid="{00000000-0004-0000-0200-000091000000}"/>
    <hyperlink ref="G146" r:id="rId147" xr:uid="{00000000-0004-0000-0200-000092000000}"/>
    <hyperlink ref="F147" r:id="rId148" xr:uid="{00000000-0004-0000-0200-000093000000}"/>
    <hyperlink ref="F148" r:id="rId149" xr:uid="{00000000-0004-0000-0200-000094000000}"/>
    <hyperlink ref="G148" r:id="rId150" xr:uid="{00000000-0004-0000-0200-000095000000}"/>
    <hyperlink ref="S148" r:id="rId151" xr:uid="{00000000-0004-0000-0200-000096000000}"/>
    <hyperlink ref="F149" r:id="rId152" xr:uid="{00000000-0004-0000-0200-000097000000}"/>
    <hyperlink ref="S149" r:id="rId153" xr:uid="{00000000-0004-0000-0200-000098000000}"/>
    <hyperlink ref="S150" r:id="rId154" xr:uid="{00000000-0004-0000-0200-000099000000}"/>
    <hyperlink ref="G152" r:id="rId155" xr:uid="{00000000-0004-0000-0200-00009A000000}"/>
    <hyperlink ref="S153" r:id="rId156" xr:uid="{00000000-0004-0000-0200-00009B000000}"/>
    <hyperlink ref="F154" r:id="rId157" xr:uid="{00000000-0004-0000-0200-00009C000000}"/>
    <hyperlink ref="S155" r:id="rId158" xr:uid="{00000000-0004-0000-0200-00009D000000}"/>
    <hyperlink ref="F156" r:id="rId159" xr:uid="{00000000-0004-0000-0200-00009E000000}"/>
    <hyperlink ref="S156" r:id="rId160" xr:uid="{00000000-0004-0000-0200-00009F000000}"/>
    <hyperlink ref="F157" r:id="rId161" location="Echobox=1544255375" xr:uid="{00000000-0004-0000-0200-0000A0000000}"/>
    <hyperlink ref="S157" r:id="rId162" xr:uid="{00000000-0004-0000-0200-0000A1000000}"/>
    <hyperlink ref="F159" r:id="rId163" xr:uid="{00000000-0004-0000-0200-0000A2000000}"/>
    <hyperlink ref="S159" r:id="rId164" xr:uid="{00000000-0004-0000-0200-0000A3000000}"/>
    <hyperlink ref="S162" r:id="rId165" xr:uid="{00000000-0004-0000-0200-0000A4000000}"/>
    <hyperlink ref="S163" r:id="rId166" xr:uid="{00000000-0004-0000-0200-0000A5000000}"/>
    <hyperlink ref="G164" r:id="rId167" xr:uid="{00000000-0004-0000-0200-0000A6000000}"/>
    <hyperlink ref="F165" r:id="rId168" xr:uid="{00000000-0004-0000-0200-0000A7000000}"/>
    <hyperlink ref="G165" r:id="rId169" xr:uid="{00000000-0004-0000-0200-0000A8000000}"/>
    <hyperlink ref="S165" r:id="rId170" xr:uid="{00000000-0004-0000-0200-0000A9000000}"/>
    <hyperlink ref="F166" r:id="rId171" xr:uid="{00000000-0004-0000-0200-0000AA000000}"/>
    <hyperlink ref="G166" r:id="rId172" xr:uid="{00000000-0004-0000-0200-0000AB000000}"/>
    <hyperlink ref="S166" r:id="rId173" xr:uid="{00000000-0004-0000-0200-0000AC000000}"/>
    <hyperlink ref="S167" r:id="rId174" xr:uid="{00000000-0004-0000-0200-0000AD000000}"/>
    <hyperlink ref="F169" r:id="rId175" xr:uid="{00000000-0004-0000-0200-0000AE000000}"/>
    <hyperlink ref="G169" r:id="rId176" xr:uid="{00000000-0004-0000-0200-0000AF000000}"/>
    <hyperlink ref="S169" r:id="rId177" xr:uid="{00000000-0004-0000-0200-0000B0000000}"/>
    <hyperlink ref="S170" r:id="rId178" xr:uid="{00000000-0004-0000-0200-0000B1000000}"/>
    <hyperlink ref="F172" r:id="rId179" xr:uid="{00000000-0004-0000-0200-0000B2000000}"/>
    <hyperlink ref="G172" r:id="rId180" xr:uid="{00000000-0004-0000-0200-0000B3000000}"/>
    <hyperlink ref="F173" r:id="rId181" location=".XAtQmhiBsUg.twitter" xr:uid="{00000000-0004-0000-0200-0000B4000000}"/>
    <hyperlink ref="S174" r:id="rId182" xr:uid="{00000000-0004-0000-0200-0000B5000000}"/>
    <hyperlink ref="S175" r:id="rId183" xr:uid="{00000000-0004-0000-0200-0000B6000000}"/>
    <hyperlink ref="F176" r:id="rId184" location=".XArUuF8UPIE.twitter" xr:uid="{00000000-0004-0000-0200-0000B7000000}"/>
    <hyperlink ref="G178" r:id="rId185" xr:uid="{00000000-0004-0000-0200-0000B8000000}"/>
    <hyperlink ref="S178" r:id="rId186" xr:uid="{00000000-0004-0000-0200-0000B9000000}"/>
    <hyperlink ref="S179" r:id="rId187" xr:uid="{00000000-0004-0000-0200-0000BA000000}"/>
    <hyperlink ref="S180" r:id="rId188" xr:uid="{00000000-0004-0000-0200-0000BB000000}"/>
    <hyperlink ref="F181" r:id="rId189" xr:uid="{00000000-0004-0000-0200-0000BC000000}"/>
    <hyperlink ref="G181" r:id="rId190" xr:uid="{00000000-0004-0000-0200-0000BD000000}"/>
    <hyperlink ref="S183" r:id="rId191" xr:uid="{00000000-0004-0000-0200-0000BE000000}"/>
    <hyperlink ref="S184" r:id="rId192" xr:uid="{00000000-0004-0000-0200-0000BF000000}"/>
    <hyperlink ref="F186" r:id="rId193" xr:uid="{00000000-0004-0000-0200-0000C0000000}"/>
    <hyperlink ref="F187" r:id="rId194" xr:uid="{00000000-0004-0000-0200-0000C1000000}"/>
    <hyperlink ref="G187" r:id="rId195" xr:uid="{00000000-0004-0000-0200-0000C2000000}"/>
    <hyperlink ref="S187" r:id="rId196" xr:uid="{00000000-0004-0000-0200-0000C3000000}"/>
    <hyperlink ref="S190" r:id="rId197" xr:uid="{00000000-0004-0000-0200-0000C4000000}"/>
    <hyperlink ref="S191" r:id="rId198" xr:uid="{00000000-0004-0000-0200-0000C5000000}"/>
    <hyperlink ref="F193" r:id="rId199" xr:uid="{00000000-0004-0000-0200-0000C6000000}"/>
    <hyperlink ref="G193" r:id="rId200" xr:uid="{00000000-0004-0000-0200-0000C7000000}"/>
    <hyperlink ref="S193" r:id="rId201" xr:uid="{00000000-0004-0000-0200-0000C8000000}"/>
    <hyperlink ref="F194" r:id="rId202" xr:uid="{00000000-0004-0000-0200-0000C9000000}"/>
    <hyperlink ref="G194" r:id="rId203" xr:uid="{00000000-0004-0000-0200-0000CA000000}"/>
    <hyperlink ref="F195" r:id="rId204" xr:uid="{00000000-0004-0000-0200-0000CB000000}"/>
    <hyperlink ref="F196" r:id="rId205" xr:uid="{00000000-0004-0000-0200-0000CC000000}"/>
    <hyperlink ref="F198" r:id="rId206" xr:uid="{00000000-0004-0000-0200-0000CD000000}"/>
    <hyperlink ref="S199" r:id="rId207" xr:uid="{00000000-0004-0000-0200-0000CE000000}"/>
    <hyperlink ref="S200" r:id="rId208" xr:uid="{00000000-0004-0000-0200-0000CF000000}"/>
    <hyperlink ref="G201" r:id="rId209" xr:uid="{00000000-0004-0000-0200-0000D0000000}"/>
    <hyperlink ref="S201" r:id="rId210" xr:uid="{00000000-0004-0000-0200-0000D1000000}"/>
    <hyperlink ref="S202" r:id="rId211" xr:uid="{00000000-0004-0000-0200-0000D2000000}"/>
    <hyperlink ref="G203" r:id="rId212" xr:uid="{00000000-0004-0000-0200-0000D3000000}"/>
    <hyperlink ref="F204" r:id="rId213" xr:uid="{00000000-0004-0000-0200-0000D4000000}"/>
    <hyperlink ref="R205" r:id="rId214" xr:uid="{00000000-0004-0000-0200-0000D5000000}"/>
    <hyperlink ref="G206" r:id="rId215" xr:uid="{00000000-0004-0000-0200-0000D6000000}"/>
    <hyperlink ref="S208" r:id="rId216" xr:uid="{00000000-0004-0000-0200-0000D7000000}"/>
    <hyperlink ref="F210" r:id="rId217" xr:uid="{00000000-0004-0000-0200-0000D8000000}"/>
    <hyperlink ref="G210" r:id="rId218" xr:uid="{00000000-0004-0000-0200-0000D9000000}"/>
    <hyperlink ref="F212" r:id="rId219" xr:uid="{00000000-0004-0000-0200-0000DA000000}"/>
    <hyperlink ref="G212" r:id="rId220" xr:uid="{00000000-0004-0000-0200-0000DB000000}"/>
    <hyperlink ref="F213" r:id="rId221" location=".XAsM5qo4KoI.twitter" xr:uid="{00000000-0004-0000-0200-0000DC000000}"/>
    <hyperlink ref="F215" r:id="rId222" xr:uid="{00000000-0004-0000-0200-0000DD000000}"/>
    <hyperlink ref="G215" r:id="rId223" xr:uid="{00000000-0004-0000-0200-0000DE000000}"/>
    <hyperlink ref="F216" r:id="rId224" xr:uid="{00000000-0004-0000-0200-0000DF000000}"/>
    <hyperlink ref="F217" r:id="rId225" xr:uid="{00000000-0004-0000-0200-0000E0000000}"/>
    <hyperlink ref="F218" r:id="rId226" xr:uid="{00000000-0004-0000-0200-0000E1000000}"/>
    <hyperlink ref="G220" r:id="rId227" xr:uid="{00000000-0004-0000-0200-0000E2000000}"/>
    <hyperlink ref="F221" r:id="rId228" xr:uid="{00000000-0004-0000-0200-0000E3000000}"/>
    <hyperlink ref="S222" r:id="rId229" xr:uid="{00000000-0004-0000-0200-0000E4000000}"/>
    <hyperlink ref="S223" r:id="rId230" xr:uid="{00000000-0004-0000-0200-0000E5000000}"/>
    <hyperlink ref="G224" r:id="rId231" xr:uid="{00000000-0004-0000-0200-0000E6000000}"/>
    <hyperlink ref="G226" r:id="rId232" xr:uid="{00000000-0004-0000-0200-0000E7000000}"/>
    <hyperlink ref="F227" r:id="rId233" xr:uid="{00000000-0004-0000-0200-0000E8000000}"/>
    <hyperlink ref="S228" r:id="rId234" xr:uid="{00000000-0004-0000-0200-0000E9000000}"/>
    <hyperlink ref="S229" r:id="rId235" xr:uid="{00000000-0004-0000-0200-0000EA000000}"/>
    <hyperlink ref="F230" r:id="rId236" xr:uid="{00000000-0004-0000-0200-0000EB000000}"/>
    <hyperlink ref="G231" r:id="rId237" xr:uid="{00000000-0004-0000-0200-0000EC000000}"/>
    <hyperlink ref="S231" r:id="rId238" xr:uid="{00000000-0004-0000-0200-0000ED000000}"/>
    <hyperlink ref="G232" r:id="rId239" xr:uid="{00000000-0004-0000-0200-0000EE000000}"/>
    <hyperlink ref="F233" r:id="rId240" xr:uid="{00000000-0004-0000-0200-0000EF000000}"/>
    <hyperlink ref="S233" r:id="rId241" xr:uid="{00000000-0004-0000-0200-0000F0000000}"/>
    <hyperlink ref="F234" r:id="rId242" xr:uid="{00000000-0004-0000-0200-0000F1000000}"/>
    <hyperlink ref="S236" r:id="rId243" xr:uid="{00000000-0004-0000-0200-0000F2000000}"/>
    <hyperlink ref="F238" r:id="rId244" xr:uid="{00000000-0004-0000-0200-0000F3000000}"/>
    <hyperlink ref="G240" r:id="rId245" xr:uid="{00000000-0004-0000-0200-0000F4000000}"/>
    <hyperlink ref="S240" r:id="rId246" xr:uid="{00000000-0004-0000-0200-0000F5000000}"/>
    <hyperlink ref="F241" r:id="rId247" xr:uid="{00000000-0004-0000-0200-0000F6000000}"/>
    <hyperlink ref="S241" r:id="rId248" xr:uid="{00000000-0004-0000-0200-0000F7000000}"/>
    <hyperlink ref="F242" r:id="rId249" xr:uid="{00000000-0004-0000-0200-0000F8000000}"/>
    <hyperlink ref="F243" r:id="rId250" xr:uid="{00000000-0004-0000-0200-0000F9000000}"/>
    <hyperlink ref="F244" r:id="rId251" xr:uid="{00000000-0004-0000-0200-0000FA000000}"/>
    <hyperlink ref="G244" r:id="rId252" xr:uid="{00000000-0004-0000-0200-0000FB000000}"/>
    <hyperlink ref="F245" r:id="rId253" location=".XArs3lVDrXI.twitter" xr:uid="{00000000-0004-0000-0200-0000FC000000}"/>
    <hyperlink ref="F246" r:id="rId254" location=".XArsWj_E72U.twitter" xr:uid="{00000000-0004-0000-0200-0000FD000000}"/>
    <hyperlink ref="S246" r:id="rId255" xr:uid="{00000000-0004-0000-0200-0000FE000000}"/>
    <hyperlink ref="F247" r:id="rId256" xr:uid="{00000000-0004-0000-0200-0000FF000000}"/>
    <hyperlink ref="F248" r:id="rId257" xr:uid="{00000000-0004-0000-0200-000000010000}"/>
    <hyperlink ref="S248" r:id="rId258" xr:uid="{00000000-0004-0000-0200-000001010000}"/>
    <hyperlink ref="G249" r:id="rId259" xr:uid="{00000000-0004-0000-0200-000002010000}"/>
    <hyperlink ref="S249" r:id="rId260" xr:uid="{00000000-0004-0000-0200-000003010000}"/>
    <hyperlink ref="F250" r:id="rId261" xr:uid="{00000000-0004-0000-0200-000004010000}"/>
    <hyperlink ref="F251" r:id="rId262" xr:uid="{00000000-0004-0000-0200-000005010000}"/>
    <hyperlink ref="S252" r:id="rId263" xr:uid="{00000000-0004-0000-0200-000006010000}"/>
    <hyperlink ref="F253" r:id="rId264" xr:uid="{00000000-0004-0000-0200-000007010000}"/>
    <hyperlink ref="S254" r:id="rId265" xr:uid="{00000000-0004-0000-0200-000008010000}"/>
    <hyperlink ref="F255" r:id="rId266" xr:uid="{00000000-0004-0000-0200-000009010000}"/>
    <hyperlink ref="G255" r:id="rId267" xr:uid="{00000000-0004-0000-0200-00000A010000}"/>
    <hyperlink ref="S258" r:id="rId268" xr:uid="{00000000-0004-0000-0200-00000B010000}"/>
    <hyperlink ref="G259" r:id="rId269" xr:uid="{00000000-0004-0000-0200-00000C010000}"/>
    <hyperlink ref="G260" r:id="rId270" xr:uid="{00000000-0004-0000-0200-00000D010000}"/>
    <hyperlink ref="G261" r:id="rId271" xr:uid="{00000000-0004-0000-0200-00000E010000}"/>
    <hyperlink ref="F262" r:id="rId272" xr:uid="{00000000-0004-0000-0200-00000F010000}"/>
    <hyperlink ref="S262" r:id="rId273" xr:uid="{00000000-0004-0000-0200-000010010000}"/>
    <hyperlink ref="G265" r:id="rId274" xr:uid="{00000000-0004-0000-0200-000011010000}"/>
    <hyperlink ref="F266" r:id="rId275" xr:uid="{00000000-0004-0000-0200-000012010000}"/>
    <hyperlink ref="G266" r:id="rId276" xr:uid="{00000000-0004-0000-0200-000013010000}"/>
    <hyperlink ref="G269" r:id="rId277" xr:uid="{00000000-0004-0000-0200-000014010000}"/>
    <hyperlink ref="G270" r:id="rId278" xr:uid="{00000000-0004-0000-0200-000015010000}"/>
    <hyperlink ref="F271" r:id="rId279" xr:uid="{00000000-0004-0000-0200-000016010000}"/>
    <hyperlink ref="F272" r:id="rId280" xr:uid="{00000000-0004-0000-0200-000017010000}"/>
    <hyperlink ref="S272" r:id="rId281" xr:uid="{00000000-0004-0000-0200-000018010000}"/>
    <hyperlink ref="S273" r:id="rId282" xr:uid="{00000000-0004-0000-0200-000019010000}"/>
    <hyperlink ref="F274" r:id="rId283" xr:uid="{00000000-0004-0000-0200-00001A010000}"/>
    <hyperlink ref="S274" r:id="rId284" xr:uid="{00000000-0004-0000-0200-00001B010000}"/>
    <hyperlink ref="G275" r:id="rId285" xr:uid="{00000000-0004-0000-0200-00001C010000}"/>
    <hyperlink ref="F278" r:id="rId286" xr:uid="{00000000-0004-0000-0200-00001D010000}"/>
    <hyperlink ref="G278" r:id="rId287" xr:uid="{00000000-0004-0000-0200-00001E010000}"/>
    <hyperlink ref="G279" r:id="rId288" xr:uid="{00000000-0004-0000-0200-00001F010000}"/>
    <hyperlink ref="S279" r:id="rId289" xr:uid="{00000000-0004-0000-0200-000020010000}"/>
    <hyperlink ref="F280" r:id="rId290" xr:uid="{00000000-0004-0000-0200-000021010000}"/>
    <hyperlink ref="S280" r:id="rId291" xr:uid="{00000000-0004-0000-0200-000022010000}"/>
    <hyperlink ref="F281" r:id="rId292" xr:uid="{00000000-0004-0000-0200-000023010000}"/>
    <hyperlink ref="F283" r:id="rId293" xr:uid="{00000000-0004-0000-0200-000024010000}"/>
    <hyperlink ref="F285" r:id="rId294" location="Echobox=1544212746" xr:uid="{00000000-0004-0000-0200-000025010000}"/>
    <hyperlink ref="S285" r:id="rId295" xr:uid="{00000000-0004-0000-0200-000026010000}"/>
    <hyperlink ref="F286" r:id="rId296" xr:uid="{00000000-0004-0000-0200-000027010000}"/>
    <hyperlink ref="G286" r:id="rId297" xr:uid="{00000000-0004-0000-0200-000028010000}"/>
    <hyperlink ref="F287" r:id="rId298" xr:uid="{00000000-0004-0000-0200-000029010000}"/>
    <hyperlink ref="G288" r:id="rId299" xr:uid="{00000000-0004-0000-0200-00002A010000}"/>
    <hyperlink ref="S288" r:id="rId300" xr:uid="{00000000-0004-0000-0200-00002B010000}"/>
    <hyperlink ref="F291" r:id="rId301" xr:uid="{00000000-0004-0000-0200-00002C010000}"/>
    <hyperlink ref="F292" r:id="rId302" xr:uid="{00000000-0004-0000-0200-00002D010000}"/>
    <hyperlink ref="F293" r:id="rId303" xr:uid="{00000000-0004-0000-0200-00002E010000}"/>
    <hyperlink ref="S293" r:id="rId304" xr:uid="{00000000-0004-0000-0200-00002F010000}"/>
    <hyperlink ref="F294" r:id="rId305" xr:uid="{00000000-0004-0000-0200-000030010000}"/>
    <hyperlink ref="F295" r:id="rId306" xr:uid="{00000000-0004-0000-0200-000031010000}"/>
    <hyperlink ref="G295" r:id="rId307" xr:uid="{00000000-0004-0000-0200-000032010000}"/>
    <hyperlink ref="F297" r:id="rId308" xr:uid="{00000000-0004-0000-0200-000033010000}"/>
    <hyperlink ref="G297" r:id="rId309" xr:uid="{00000000-0004-0000-0200-000034010000}"/>
    <hyperlink ref="S297" r:id="rId310" xr:uid="{00000000-0004-0000-0200-000035010000}"/>
    <hyperlink ref="G298" r:id="rId311" xr:uid="{00000000-0004-0000-0200-000036010000}"/>
    <hyperlink ref="F301" r:id="rId312" xr:uid="{00000000-0004-0000-0200-000037010000}"/>
    <hyperlink ref="G301" r:id="rId313" xr:uid="{00000000-0004-0000-0200-000038010000}"/>
    <hyperlink ref="G302" r:id="rId314" xr:uid="{00000000-0004-0000-0200-000039010000}"/>
    <hyperlink ref="S303" r:id="rId315" xr:uid="{00000000-0004-0000-0200-00003A010000}"/>
    <hyperlink ref="F304" r:id="rId316" xr:uid="{00000000-0004-0000-0200-00003B010000}"/>
    <hyperlink ref="G304" r:id="rId317" xr:uid="{00000000-0004-0000-0200-00003C010000}"/>
    <hyperlink ref="F306" r:id="rId318" xr:uid="{00000000-0004-0000-0200-00003D010000}"/>
    <hyperlink ref="S306" r:id="rId319" xr:uid="{00000000-0004-0000-0200-00003E010000}"/>
    <hyperlink ref="G307" r:id="rId320" xr:uid="{00000000-0004-0000-0200-00003F010000}"/>
    <hyperlink ref="F308" r:id="rId321" xr:uid="{00000000-0004-0000-0200-000040010000}"/>
    <hyperlink ref="G308" r:id="rId322" xr:uid="{00000000-0004-0000-0200-000041010000}"/>
    <hyperlink ref="F310" r:id="rId323" location="Echobox=1544209932" xr:uid="{00000000-0004-0000-0200-000042010000}"/>
    <hyperlink ref="S310" r:id="rId324" xr:uid="{00000000-0004-0000-0200-000043010000}"/>
    <hyperlink ref="G311" r:id="rId325" xr:uid="{00000000-0004-0000-0200-000044010000}"/>
    <hyperlink ref="G313" r:id="rId326" xr:uid="{00000000-0004-0000-0200-000045010000}"/>
    <hyperlink ref="F314" r:id="rId327" xr:uid="{00000000-0004-0000-0200-000046010000}"/>
    <hyperlink ref="G315" r:id="rId328" xr:uid="{00000000-0004-0000-0200-000047010000}"/>
    <hyperlink ref="F316" r:id="rId329" xr:uid="{00000000-0004-0000-0200-000048010000}"/>
    <hyperlink ref="G317" r:id="rId330" xr:uid="{00000000-0004-0000-0200-000049010000}"/>
    <hyperlink ref="S317" r:id="rId331" xr:uid="{00000000-0004-0000-0200-00004A010000}"/>
    <hyperlink ref="F318" r:id="rId332" xr:uid="{00000000-0004-0000-0200-00004B010000}"/>
    <hyperlink ref="F319" r:id="rId333" xr:uid="{00000000-0004-0000-0200-00004C010000}"/>
    <hyperlink ref="S320" r:id="rId334" xr:uid="{00000000-0004-0000-0200-00004D010000}"/>
    <hyperlink ref="S321" r:id="rId335" xr:uid="{00000000-0004-0000-0200-00004E010000}"/>
    <hyperlink ref="F322" r:id="rId336" xr:uid="{00000000-0004-0000-0200-00004F010000}"/>
    <hyperlink ref="G322" r:id="rId337" xr:uid="{00000000-0004-0000-0200-000050010000}"/>
    <hyperlink ref="S325" r:id="rId338" xr:uid="{00000000-0004-0000-0200-000051010000}"/>
    <hyperlink ref="G326" r:id="rId339" xr:uid="{00000000-0004-0000-0200-000052010000}"/>
    <hyperlink ref="F327" r:id="rId340" xr:uid="{00000000-0004-0000-0200-000053010000}"/>
    <hyperlink ref="G327" r:id="rId341" xr:uid="{00000000-0004-0000-0200-000054010000}"/>
    <hyperlink ref="S327" r:id="rId342" xr:uid="{00000000-0004-0000-0200-000055010000}"/>
    <hyperlink ref="G328" r:id="rId343" xr:uid="{00000000-0004-0000-0200-000056010000}"/>
    <hyperlink ref="F330" r:id="rId344" xr:uid="{00000000-0004-0000-0200-000057010000}"/>
    <hyperlink ref="C331" r:id="rId345" xr:uid="{00000000-0004-0000-0200-000058010000}"/>
    <hyperlink ref="F331" r:id="rId346" xr:uid="{00000000-0004-0000-0200-000059010000}"/>
    <hyperlink ref="G331" r:id="rId347" xr:uid="{00000000-0004-0000-0200-00005A010000}"/>
    <hyperlink ref="S331" r:id="rId348" xr:uid="{00000000-0004-0000-0200-00005B010000}"/>
    <hyperlink ref="S332" r:id="rId349" xr:uid="{00000000-0004-0000-0200-00005C010000}"/>
    <hyperlink ref="G333" r:id="rId350" xr:uid="{00000000-0004-0000-0200-00005D010000}"/>
    <hyperlink ref="F334" r:id="rId351" xr:uid="{00000000-0004-0000-0200-00005E010000}"/>
    <hyperlink ref="G334" r:id="rId352" xr:uid="{00000000-0004-0000-0200-00005F010000}"/>
    <hyperlink ref="S335" r:id="rId353" xr:uid="{00000000-0004-0000-0200-000060010000}"/>
    <hyperlink ref="G337" r:id="rId354" xr:uid="{00000000-0004-0000-0200-000061010000}"/>
    <hyperlink ref="F338" r:id="rId355" xr:uid="{00000000-0004-0000-0200-000062010000}"/>
    <hyperlink ref="G338" r:id="rId356" xr:uid="{00000000-0004-0000-0200-000063010000}"/>
    <hyperlink ref="S338" r:id="rId357" xr:uid="{00000000-0004-0000-0200-000064010000}"/>
    <hyperlink ref="S339" r:id="rId358" xr:uid="{00000000-0004-0000-0200-000065010000}"/>
    <hyperlink ref="F340" r:id="rId359" xr:uid="{00000000-0004-0000-0200-000066010000}"/>
    <hyperlink ref="G340" r:id="rId360" xr:uid="{00000000-0004-0000-0200-000067010000}"/>
    <hyperlink ref="G341" r:id="rId361" xr:uid="{00000000-0004-0000-0200-000068010000}"/>
    <hyperlink ref="S343" r:id="rId362" xr:uid="{00000000-0004-0000-0200-000069010000}"/>
    <hyperlink ref="F346" r:id="rId363" xr:uid="{00000000-0004-0000-0200-00006A010000}"/>
    <hyperlink ref="F347" r:id="rId364" xr:uid="{00000000-0004-0000-0200-00006B010000}"/>
    <hyperlink ref="G347" r:id="rId365" xr:uid="{00000000-0004-0000-0200-00006C010000}"/>
    <hyperlink ref="S347" r:id="rId366" xr:uid="{00000000-0004-0000-0200-00006D010000}"/>
    <hyperlink ref="F348" r:id="rId367" xr:uid="{00000000-0004-0000-0200-00006E010000}"/>
    <hyperlink ref="G348" r:id="rId368" xr:uid="{00000000-0004-0000-0200-00006F010000}"/>
    <hyperlink ref="F350" r:id="rId369" xr:uid="{00000000-0004-0000-0200-000070010000}"/>
    <hyperlink ref="G350" r:id="rId370" xr:uid="{00000000-0004-0000-0200-000071010000}"/>
    <hyperlink ref="F351" r:id="rId371" xr:uid="{00000000-0004-0000-0200-000072010000}"/>
    <hyperlink ref="G352" r:id="rId372" xr:uid="{00000000-0004-0000-0200-000073010000}"/>
    <hyperlink ref="S352" r:id="rId373" xr:uid="{00000000-0004-0000-0200-000074010000}"/>
    <hyperlink ref="F354" r:id="rId374" xr:uid="{00000000-0004-0000-0200-000075010000}"/>
    <hyperlink ref="G354" r:id="rId375" xr:uid="{00000000-0004-0000-0200-000076010000}"/>
    <hyperlink ref="S354" r:id="rId376" xr:uid="{00000000-0004-0000-0200-000077010000}"/>
    <hyperlink ref="F355" r:id="rId377" xr:uid="{00000000-0004-0000-0200-000078010000}"/>
    <hyperlink ref="G355" r:id="rId378" xr:uid="{00000000-0004-0000-0200-000079010000}"/>
    <hyperlink ref="G356" r:id="rId379" xr:uid="{00000000-0004-0000-0200-00007A010000}"/>
    <hyperlink ref="S356" r:id="rId380" xr:uid="{00000000-0004-0000-0200-00007B010000}"/>
    <hyperlink ref="S358" r:id="rId381" xr:uid="{00000000-0004-0000-0200-00007C010000}"/>
    <hyperlink ref="F359" r:id="rId382" xr:uid="{00000000-0004-0000-0200-00007D010000}"/>
    <hyperlink ref="G361" r:id="rId383" xr:uid="{00000000-0004-0000-0200-00007E010000}"/>
    <hyperlink ref="G362" r:id="rId384" xr:uid="{00000000-0004-0000-0200-00007F010000}"/>
    <hyperlink ref="F367" r:id="rId385" xr:uid="{00000000-0004-0000-0200-000080010000}"/>
    <hyperlink ref="S367" r:id="rId386" xr:uid="{00000000-0004-0000-0200-000081010000}"/>
    <hyperlink ref="G369" r:id="rId387" xr:uid="{00000000-0004-0000-0200-000082010000}"/>
    <hyperlink ref="G370" r:id="rId388" xr:uid="{00000000-0004-0000-0200-000083010000}"/>
    <hyperlink ref="G371" r:id="rId389" xr:uid="{00000000-0004-0000-0200-000084010000}"/>
    <hyperlink ref="G372" r:id="rId390" xr:uid="{00000000-0004-0000-0200-000085010000}"/>
    <hyperlink ref="F373" r:id="rId391" xr:uid="{00000000-0004-0000-0200-000086010000}"/>
    <hyperlink ref="S373" r:id="rId392" xr:uid="{00000000-0004-0000-0200-000087010000}"/>
    <hyperlink ref="F374" r:id="rId393" xr:uid="{00000000-0004-0000-0200-000088010000}"/>
    <hyperlink ref="S374" r:id="rId394" xr:uid="{00000000-0004-0000-0200-000089010000}"/>
    <hyperlink ref="F375" r:id="rId395" xr:uid="{00000000-0004-0000-0200-00008A010000}"/>
    <hyperlink ref="G375" r:id="rId396" xr:uid="{00000000-0004-0000-0200-00008B010000}"/>
    <hyperlink ref="F376" r:id="rId397" xr:uid="{00000000-0004-0000-0200-00008C010000}"/>
    <hyperlink ref="G376" r:id="rId398" xr:uid="{00000000-0004-0000-0200-00008D010000}"/>
    <hyperlink ref="G377" r:id="rId399" xr:uid="{00000000-0004-0000-0200-00008E010000}"/>
    <hyperlink ref="F379" r:id="rId400" xr:uid="{00000000-0004-0000-0200-00008F010000}"/>
    <hyperlink ref="G380" r:id="rId401" xr:uid="{00000000-0004-0000-0200-000090010000}"/>
    <hyperlink ref="F381" r:id="rId402" xr:uid="{00000000-0004-0000-0200-000091010000}"/>
    <hyperlink ref="F382" r:id="rId403" xr:uid="{00000000-0004-0000-0200-000092010000}"/>
    <hyperlink ref="S382" r:id="rId404" xr:uid="{00000000-0004-0000-0200-000093010000}"/>
    <hyperlink ref="F383" r:id="rId405" xr:uid="{00000000-0004-0000-0200-000094010000}"/>
    <hyperlink ref="S385" r:id="rId406" xr:uid="{00000000-0004-0000-0200-000095010000}"/>
    <hyperlink ref="F386" r:id="rId407" xr:uid="{00000000-0004-0000-0200-000096010000}"/>
    <hyperlink ref="G386" r:id="rId408" xr:uid="{00000000-0004-0000-0200-000097010000}"/>
    <hyperlink ref="G387" r:id="rId409" xr:uid="{00000000-0004-0000-0200-000098010000}"/>
    <hyperlink ref="S387" r:id="rId410" xr:uid="{00000000-0004-0000-0200-000099010000}"/>
    <hyperlink ref="F388" r:id="rId411" xr:uid="{00000000-0004-0000-0200-00009A010000}"/>
    <hyperlink ref="G388" r:id="rId412" xr:uid="{00000000-0004-0000-0200-00009B010000}"/>
    <hyperlink ref="G389" r:id="rId413" xr:uid="{00000000-0004-0000-0200-00009C010000}"/>
    <hyperlink ref="F390" r:id="rId414" xr:uid="{00000000-0004-0000-0200-00009D010000}"/>
    <hyperlink ref="G391" r:id="rId415" xr:uid="{00000000-0004-0000-0200-00009E010000}"/>
    <hyperlink ref="G393" r:id="rId416" xr:uid="{00000000-0004-0000-0200-00009F010000}"/>
    <hyperlink ref="G394" r:id="rId417" xr:uid="{00000000-0004-0000-0200-0000A0010000}"/>
    <hyperlink ref="F395" r:id="rId418" xr:uid="{00000000-0004-0000-0200-0000A1010000}"/>
    <hyperlink ref="G395" r:id="rId419" xr:uid="{00000000-0004-0000-0200-0000A2010000}"/>
    <hyperlink ref="F398" r:id="rId420" xr:uid="{00000000-0004-0000-0200-0000A3010000}"/>
    <hyperlink ref="F399" r:id="rId421" xr:uid="{00000000-0004-0000-0200-0000A4010000}"/>
    <hyperlink ref="F400" r:id="rId422" xr:uid="{00000000-0004-0000-0200-0000A5010000}"/>
    <hyperlink ref="G401" r:id="rId423" xr:uid="{00000000-0004-0000-0200-0000A6010000}"/>
    <hyperlink ref="S402" r:id="rId424" xr:uid="{00000000-0004-0000-0200-0000A7010000}"/>
    <hyperlink ref="G403" r:id="rId425" xr:uid="{00000000-0004-0000-0200-0000A8010000}"/>
    <hyperlink ref="F404" r:id="rId426" xr:uid="{00000000-0004-0000-0200-0000A9010000}"/>
    <hyperlink ref="F405" r:id="rId427" xr:uid="{00000000-0004-0000-0200-0000AA010000}"/>
    <hyperlink ref="F406" r:id="rId428" xr:uid="{00000000-0004-0000-0200-0000AB010000}"/>
    <hyperlink ref="G406" r:id="rId429" xr:uid="{00000000-0004-0000-0200-0000AC010000}"/>
    <hyperlink ref="F407" r:id="rId430" location="Echobox=1544187698" xr:uid="{00000000-0004-0000-0200-0000AD010000}"/>
    <hyperlink ref="S407" r:id="rId431" xr:uid="{00000000-0004-0000-0200-0000AE010000}"/>
    <hyperlink ref="G408" r:id="rId432" xr:uid="{00000000-0004-0000-0200-0000AF010000}"/>
    <hyperlink ref="F409" r:id="rId433" xr:uid="{00000000-0004-0000-0200-0000B0010000}"/>
    <hyperlink ref="F410" r:id="rId434" xr:uid="{00000000-0004-0000-0200-0000B1010000}"/>
    <hyperlink ref="S410" r:id="rId435" xr:uid="{00000000-0004-0000-0200-0000B2010000}"/>
    <hyperlink ref="F411" r:id="rId436" xr:uid="{00000000-0004-0000-0200-0000B3010000}"/>
    <hyperlink ref="G412" r:id="rId437" xr:uid="{00000000-0004-0000-0200-0000B4010000}"/>
    <hyperlink ref="S412" r:id="rId438" xr:uid="{00000000-0004-0000-0200-0000B5010000}"/>
    <hyperlink ref="F413" r:id="rId439" xr:uid="{00000000-0004-0000-0200-0000B6010000}"/>
    <hyperlink ref="F414" r:id="rId440" xr:uid="{00000000-0004-0000-0200-0000B7010000}"/>
    <hyperlink ref="S414" r:id="rId441" xr:uid="{00000000-0004-0000-0200-0000B8010000}"/>
    <hyperlink ref="F415" r:id="rId442" xr:uid="{00000000-0004-0000-0200-0000B9010000}"/>
    <hyperlink ref="S415" r:id="rId443" xr:uid="{00000000-0004-0000-0200-0000BA010000}"/>
    <hyperlink ref="F416" r:id="rId444" xr:uid="{00000000-0004-0000-0200-0000BB010000}"/>
    <hyperlink ref="S416" r:id="rId445" xr:uid="{00000000-0004-0000-0200-0000BC010000}"/>
    <hyperlink ref="G417" r:id="rId446" xr:uid="{00000000-0004-0000-0200-0000BD010000}"/>
    <hyperlink ref="S418" r:id="rId447" xr:uid="{00000000-0004-0000-0200-0000BE010000}"/>
    <hyperlink ref="S419" r:id="rId448" xr:uid="{00000000-0004-0000-0200-0000BF010000}"/>
    <hyperlink ref="F423" r:id="rId449" xr:uid="{00000000-0004-0000-0200-0000C0010000}"/>
    <hyperlink ref="C424" r:id="rId450" xr:uid="{00000000-0004-0000-0200-0000C1010000}"/>
    <hyperlink ref="F424" r:id="rId451" xr:uid="{00000000-0004-0000-0200-0000C2010000}"/>
    <hyperlink ref="G424" r:id="rId452" xr:uid="{00000000-0004-0000-0200-0000C3010000}"/>
    <hyperlink ref="S424" r:id="rId453" xr:uid="{00000000-0004-0000-0200-0000C4010000}"/>
    <hyperlink ref="G426" r:id="rId454" xr:uid="{00000000-0004-0000-0200-0000C5010000}"/>
    <hyperlink ref="F427" r:id="rId455" xr:uid="{00000000-0004-0000-0200-0000C6010000}"/>
    <hyperlink ref="S427" r:id="rId456" xr:uid="{00000000-0004-0000-0200-0000C7010000}"/>
    <hyperlink ref="F428" r:id="rId457" xr:uid="{00000000-0004-0000-0200-0000C8010000}"/>
    <hyperlink ref="G428" r:id="rId458" xr:uid="{00000000-0004-0000-0200-0000C9010000}"/>
    <hyperlink ref="S430" r:id="rId459" xr:uid="{00000000-0004-0000-0200-0000CA010000}"/>
    <hyperlink ref="F431" r:id="rId460" location="Echobox=1544187530" xr:uid="{00000000-0004-0000-0200-0000CB010000}"/>
    <hyperlink ref="S431" r:id="rId461" xr:uid="{00000000-0004-0000-0200-0000CC010000}"/>
    <hyperlink ref="G433" r:id="rId462" xr:uid="{00000000-0004-0000-0200-0000CD010000}"/>
    <hyperlink ref="F435" r:id="rId463" xr:uid="{00000000-0004-0000-0200-0000CE010000}"/>
    <hyperlink ref="G435" r:id="rId464" xr:uid="{00000000-0004-0000-0200-0000CF010000}"/>
    <hyperlink ref="S435" r:id="rId465" xr:uid="{00000000-0004-0000-0200-0000D0010000}"/>
    <hyperlink ref="F437" r:id="rId466" xr:uid="{00000000-0004-0000-0200-0000D1010000}"/>
    <hyperlink ref="F438" r:id="rId467" xr:uid="{00000000-0004-0000-0200-0000D2010000}"/>
    <hyperlink ref="G438" r:id="rId468" xr:uid="{00000000-0004-0000-0200-0000D3010000}"/>
    <hyperlink ref="F439" r:id="rId469" xr:uid="{00000000-0004-0000-0200-0000D4010000}"/>
    <hyperlink ref="S439" r:id="rId470" xr:uid="{00000000-0004-0000-0200-0000D5010000}"/>
    <hyperlink ref="F440" r:id="rId471" xr:uid="{00000000-0004-0000-0200-0000D6010000}"/>
    <hyperlink ref="S440" r:id="rId472" xr:uid="{00000000-0004-0000-0200-0000D7010000}"/>
    <hyperlink ref="G441" r:id="rId473" xr:uid="{00000000-0004-0000-0200-0000D8010000}"/>
    <hyperlink ref="F442" r:id="rId474" xr:uid="{00000000-0004-0000-0200-0000D9010000}"/>
    <hyperlink ref="G442" r:id="rId475" xr:uid="{00000000-0004-0000-0200-0000DA010000}"/>
    <hyperlink ref="F443" r:id="rId476" xr:uid="{00000000-0004-0000-0200-0000DB010000}"/>
    <hyperlink ref="G443" r:id="rId477" xr:uid="{00000000-0004-0000-0200-0000DC010000}"/>
    <hyperlink ref="S443" r:id="rId478" xr:uid="{00000000-0004-0000-0200-0000DD010000}"/>
    <hyperlink ref="G446" r:id="rId479" xr:uid="{00000000-0004-0000-0200-0000DE010000}"/>
    <hyperlink ref="F447" r:id="rId480" location=".XApzjQrFBFg.twitter" xr:uid="{00000000-0004-0000-0200-0000DF010000}"/>
    <hyperlink ref="F449" r:id="rId481" xr:uid="{00000000-0004-0000-0200-0000E0010000}"/>
    <hyperlink ref="G449" r:id="rId482" xr:uid="{00000000-0004-0000-0200-0000E1010000}"/>
    <hyperlink ref="S449" r:id="rId483" xr:uid="{00000000-0004-0000-0200-0000E2010000}"/>
    <hyperlink ref="G450" r:id="rId484" xr:uid="{00000000-0004-0000-0200-0000E3010000}"/>
    <hyperlink ref="F452" r:id="rId485" xr:uid="{00000000-0004-0000-0200-0000E4010000}"/>
    <hyperlink ref="G453" r:id="rId486" xr:uid="{00000000-0004-0000-0200-0000E5010000}"/>
    <hyperlink ref="G454" r:id="rId487" xr:uid="{00000000-0004-0000-0200-0000E6010000}"/>
    <hyperlink ref="F455" r:id="rId488" location="Echobox=1544187698" xr:uid="{00000000-0004-0000-0200-0000E7010000}"/>
    <hyperlink ref="S455" r:id="rId489" xr:uid="{00000000-0004-0000-0200-0000E8010000}"/>
    <hyperlink ref="S457" r:id="rId490" xr:uid="{00000000-0004-0000-0200-0000E9010000}"/>
    <hyperlink ref="G458" r:id="rId491" xr:uid="{00000000-0004-0000-0200-0000EA010000}"/>
    <hyperlink ref="G460" r:id="rId492" xr:uid="{00000000-0004-0000-0200-0000EB010000}"/>
    <hyperlink ref="S460" r:id="rId493" xr:uid="{00000000-0004-0000-0200-0000EC010000}"/>
    <hyperlink ref="F461" r:id="rId494" xr:uid="{00000000-0004-0000-0200-0000ED010000}"/>
    <hyperlink ref="F462" r:id="rId495" xr:uid="{00000000-0004-0000-0200-0000EE010000}"/>
    <hyperlink ref="G462" r:id="rId496" xr:uid="{00000000-0004-0000-0200-0000EF010000}"/>
    <hyperlink ref="G463" r:id="rId497" xr:uid="{00000000-0004-0000-0200-0000F0010000}"/>
    <hyperlink ref="G467" r:id="rId498" xr:uid="{00000000-0004-0000-0200-0000F1010000}"/>
    <hyperlink ref="S468" r:id="rId499" xr:uid="{00000000-0004-0000-0200-0000F2010000}"/>
    <hyperlink ref="F469" r:id="rId500" xr:uid="{00000000-0004-0000-0200-0000F3010000}"/>
    <hyperlink ref="S469" r:id="rId501" xr:uid="{00000000-0004-0000-0200-0000F4010000}"/>
    <hyperlink ref="G470" r:id="rId502" xr:uid="{00000000-0004-0000-0200-0000F5010000}"/>
    <hyperlink ref="G472" r:id="rId503" xr:uid="{00000000-0004-0000-0200-0000F6010000}"/>
    <hyperlink ref="S472" r:id="rId504" xr:uid="{00000000-0004-0000-0200-0000F7010000}"/>
    <hyperlink ref="G475" r:id="rId505" xr:uid="{00000000-0004-0000-0200-0000F8010000}"/>
    <hyperlink ref="S475" r:id="rId506" xr:uid="{00000000-0004-0000-0200-0000F9010000}"/>
    <hyperlink ref="F476" r:id="rId507" xr:uid="{00000000-0004-0000-0200-0000FA010000}"/>
    <hyperlink ref="G477" r:id="rId508" xr:uid="{00000000-0004-0000-0200-0000FB010000}"/>
    <hyperlink ref="G478" r:id="rId509" xr:uid="{00000000-0004-0000-0200-0000FC010000}"/>
    <hyperlink ref="G480" r:id="rId510" xr:uid="{00000000-0004-0000-0200-0000FD010000}"/>
    <hyperlink ref="G482" r:id="rId511" xr:uid="{00000000-0004-0000-0200-0000FE010000}"/>
    <hyperlink ref="F483" r:id="rId512" xr:uid="{00000000-0004-0000-0200-0000FF010000}"/>
    <hyperlink ref="G483" r:id="rId513" xr:uid="{00000000-0004-0000-0200-000000020000}"/>
    <hyperlink ref="F484" r:id="rId514" xr:uid="{00000000-0004-0000-0200-000001020000}"/>
    <hyperlink ref="S484" r:id="rId515" xr:uid="{00000000-0004-0000-0200-000002020000}"/>
    <hyperlink ref="F485" r:id="rId516" xr:uid="{00000000-0004-0000-0200-000003020000}"/>
    <hyperlink ref="G485" r:id="rId517" xr:uid="{00000000-0004-0000-0200-000004020000}"/>
    <hyperlink ref="G486" r:id="rId518" xr:uid="{00000000-0004-0000-0200-000005020000}"/>
    <hyperlink ref="S486" r:id="rId519" xr:uid="{00000000-0004-0000-0200-000006020000}"/>
    <hyperlink ref="G487" r:id="rId520" xr:uid="{00000000-0004-0000-0200-000007020000}"/>
    <hyperlink ref="S488" r:id="rId521" xr:uid="{00000000-0004-0000-0200-000008020000}"/>
    <hyperlink ref="G489" r:id="rId522" xr:uid="{00000000-0004-0000-0200-000009020000}"/>
    <hyperlink ref="S490" r:id="rId523" xr:uid="{00000000-0004-0000-0200-00000A020000}"/>
    <hyperlink ref="G491" r:id="rId524" xr:uid="{00000000-0004-0000-0200-00000B020000}"/>
    <hyperlink ref="S492" r:id="rId525" xr:uid="{00000000-0004-0000-0200-00000C020000}"/>
    <hyperlink ref="G493" r:id="rId526" xr:uid="{00000000-0004-0000-0200-00000D020000}"/>
    <hyperlink ref="F495" r:id="rId527" xr:uid="{00000000-0004-0000-0200-00000E020000}"/>
    <hyperlink ref="S495" r:id="rId528" xr:uid="{00000000-0004-0000-0200-00000F020000}"/>
    <hyperlink ref="G496" r:id="rId529" xr:uid="{00000000-0004-0000-0200-000010020000}"/>
    <hyperlink ref="G497" r:id="rId530" xr:uid="{00000000-0004-0000-0200-000011020000}"/>
    <hyperlink ref="G499" r:id="rId531" xr:uid="{00000000-0004-0000-0200-000012020000}"/>
    <hyperlink ref="F501" r:id="rId532" xr:uid="{00000000-0004-0000-0200-000013020000}"/>
    <hyperlink ref="S501" r:id="rId533" xr:uid="{00000000-0004-0000-0200-000014020000}"/>
    <hyperlink ref="S504" r:id="rId534" xr:uid="{00000000-0004-0000-0200-000015020000}"/>
    <hyperlink ref="G505" r:id="rId535" xr:uid="{00000000-0004-0000-0200-000016020000}"/>
    <hyperlink ref="F507" r:id="rId536" xr:uid="{00000000-0004-0000-0200-000017020000}"/>
    <hyperlink ref="G508" r:id="rId537" xr:uid="{00000000-0004-0000-0200-000018020000}"/>
    <hyperlink ref="S508" r:id="rId538" xr:uid="{00000000-0004-0000-0200-000019020000}"/>
    <hyperlink ref="F509" r:id="rId539" xr:uid="{00000000-0004-0000-0200-00001A020000}"/>
    <hyperlink ref="S509" r:id="rId540" xr:uid="{00000000-0004-0000-0200-00001B020000}"/>
    <hyperlink ref="G511" r:id="rId541" xr:uid="{00000000-0004-0000-0200-00001C020000}"/>
    <hyperlink ref="G512" r:id="rId542" xr:uid="{00000000-0004-0000-0200-00001D020000}"/>
    <hyperlink ref="F513" r:id="rId543" xr:uid="{00000000-0004-0000-0200-00001E020000}"/>
    <hyperlink ref="G513" r:id="rId544" xr:uid="{00000000-0004-0000-0200-00001F020000}"/>
    <hyperlink ref="F515" r:id="rId545" xr:uid="{00000000-0004-0000-0200-000020020000}"/>
    <hyperlink ref="F516" r:id="rId546" xr:uid="{00000000-0004-0000-0200-000021020000}"/>
    <hyperlink ref="F517" r:id="rId547" xr:uid="{00000000-0004-0000-0200-000022020000}"/>
    <hyperlink ref="F518" r:id="rId548" xr:uid="{00000000-0004-0000-0200-000023020000}"/>
    <hyperlink ref="G519" r:id="rId549" xr:uid="{00000000-0004-0000-0200-000024020000}"/>
    <hyperlink ref="G522" r:id="rId550" xr:uid="{00000000-0004-0000-0200-000025020000}"/>
    <hyperlink ref="S522" r:id="rId551" xr:uid="{00000000-0004-0000-0200-000026020000}"/>
    <hyperlink ref="G523" r:id="rId552" xr:uid="{00000000-0004-0000-0200-000027020000}"/>
    <hyperlink ref="S523" r:id="rId553" xr:uid="{00000000-0004-0000-0200-000028020000}"/>
    <hyperlink ref="F524" r:id="rId554" xr:uid="{00000000-0004-0000-0200-000029020000}"/>
    <hyperlink ref="S524" r:id="rId555" xr:uid="{00000000-0004-0000-0200-00002A020000}"/>
    <hyperlink ref="G526" r:id="rId556" xr:uid="{00000000-0004-0000-0200-00002B020000}"/>
    <hyperlink ref="S528" r:id="rId557" xr:uid="{00000000-0004-0000-0200-00002C020000}"/>
    <hyperlink ref="F529" r:id="rId558" xr:uid="{00000000-0004-0000-0200-00002D020000}"/>
    <hyperlink ref="G529" r:id="rId559" xr:uid="{00000000-0004-0000-0200-00002E020000}"/>
    <hyperlink ref="G530" r:id="rId560" xr:uid="{00000000-0004-0000-0200-00002F020000}"/>
    <hyperlink ref="F531" r:id="rId561" xr:uid="{00000000-0004-0000-0200-000030020000}"/>
    <hyperlink ref="F532" r:id="rId562" xr:uid="{00000000-0004-0000-0200-000031020000}"/>
    <hyperlink ref="G533" r:id="rId563" xr:uid="{00000000-0004-0000-0200-000032020000}"/>
    <hyperlink ref="F535" r:id="rId564" xr:uid="{00000000-0004-0000-0200-000033020000}"/>
    <hyperlink ref="S535" r:id="rId565" xr:uid="{00000000-0004-0000-0200-000034020000}"/>
    <hyperlink ref="F536" r:id="rId566" xr:uid="{00000000-0004-0000-0200-000035020000}"/>
    <hyperlink ref="G536" r:id="rId567" xr:uid="{00000000-0004-0000-0200-000036020000}"/>
    <hyperlink ref="G537" r:id="rId568" xr:uid="{00000000-0004-0000-0200-000037020000}"/>
    <hyperlink ref="F538" r:id="rId569" xr:uid="{00000000-0004-0000-0200-000038020000}"/>
    <hyperlink ref="G538" r:id="rId570" xr:uid="{00000000-0004-0000-0200-000039020000}"/>
    <hyperlink ref="F539" r:id="rId571" xr:uid="{00000000-0004-0000-0200-00003A020000}"/>
    <hyperlink ref="F540" r:id="rId572" xr:uid="{00000000-0004-0000-0200-00003B020000}"/>
    <hyperlink ref="F541" r:id="rId573" xr:uid="{00000000-0004-0000-0200-00003C020000}"/>
    <hyperlink ref="S541" r:id="rId574" xr:uid="{00000000-0004-0000-0200-00003D020000}"/>
    <hyperlink ref="G542" r:id="rId575" xr:uid="{00000000-0004-0000-0200-00003E020000}"/>
    <hyperlink ref="G544" r:id="rId576" xr:uid="{00000000-0004-0000-0200-00003F020000}"/>
    <hyperlink ref="S544" r:id="rId577" xr:uid="{00000000-0004-0000-0200-000040020000}"/>
    <hyperlink ref="F547" r:id="rId578" xr:uid="{00000000-0004-0000-0200-000041020000}"/>
    <hyperlink ref="Q547" r:id="rId579" xr:uid="{00000000-0004-0000-0200-000042020000}"/>
    <hyperlink ref="S547" r:id="rId580" xr:uid="{00000000-0004-0000-0200-000043020000}"/>
    <hyperlink ref="F548" r:id="rId581" xr:uid="{00000000-0004-0000-0200-000044020000}"/>
    <hyperlink ref="S548" r:id="rId582" xr:uid="{00000000-0004-0000-0200-000045020000}"/>
    <hyperlink ref="G549" r:id="rId583" xr:uid="{00000000-0004-0000-0200-000046020000}"/>
    <hyperlink ref="S549" r:id="rId584" xr:uid="{00000000-0004-0000-0200-000047020000}"/>
    <hyperlink ref="G550" r:id="rId585" xr:uid="{00000000-0004-0000-0200-000048020000}"/>
    <hyperlink ref="F551" r:id="rId586" xr:uid="{00000000-0004-0000-0200-000049020000}"/>
    <hyperlink ref="F552" r:id="rId587" xr:uid="{00000000-0004-0000-0200-00004A020000}"/>
    <hyperlink ref="F553" r:id="rId588" xr:uid="{00000000-0004-0000-0200-00004B020000}"/>
    <hyperlink ref="F554" r:id="rId589" xr:uid="{00000000-0004-0000-0200-00004C020000}"/>
    <hyperlink ref="G554" r:id="rId590" xr:uid="{00000000-0004-0000-0200-00004D020000}"/>
    <hyperlink ref="S554" r:id="rId591" xr:uid="{00000000-0004-0000-0200-00004E020000}"/>
    <hyperlink ref="F555" r:id="rId592" xr:uid="{00000000-0004-0000-0200-00004F020000}"/>
    <hyperlink ref="G555" r:id="rId593" xr:uid="{00000000-0004-0000-0200-000050020000}"/>
    <hyperlink ref="F557" r:id="rId594" xr:uid="{00000000-0004-0000-0200-000051020000}"/>
    <hyperlink ref="G557" r:id="rId595" xr:uid="{00000000-0004-0000-0200-000052020000}"/>
    <hyperlink ref="G558" r:id="rId596" xr:uid="{00000000-0004-0000-0200-000053020000}"/>
    <hyperlink ref="G560" r:id="rId597" xr:uid="{00000000-0004-0000-0200-000054020000}"/>
    <hyperlink ref="G561" r:id="rId598" xr:uid="{00000000-0004-0000-0200-000055020000}"/>
    <hyperlink ref="S562" r:id="rId599" xr:uid="{00000000-0004-0000-0200-000056020000}"/>
    <hyperlink ref="G563" r:id="rId600" xr:uid="{00000000-0004-0000-0200-000057020000}"/>
    <hyperlink ref="G564" r:id="rId601" xr:uid="{00000000-0004-0000-0200-000058020000}"/>
    <hyperlink ref="F566" r:id="rId602" xr:uid="{00000000-0004-0000-0200-000059020000}"/>
    <hyperlink ref="F568" r:id="rId603" xr:uid="{00000000-0004-0000-0200-00005A020000}"/>
    <hyperlink ref="S568" r:id="rId604" xr:uid="{00000000-0004-0000-0200-00005B020000}"/>
    <hyperlink ref="G569" r:id="rId605" xr:uid="{00000000-0004-0000-0200-00005C020000}"/>
    <hyperlink ref="F571" r:id="rId606" xr:uid="{00000000-0004-0000-0200-00005D020000}"/>
    <hyperlink ref="F572" r:id="rId607" xr:uid="{00000000-0004-0000-0200-00005E020000}"/>
    <hyperlink ref="S572" r:id="rId608" xr:uid="{00000000-0004-0000-0200-00005F020000}"/>
    <hyperlink ref="F573" r:id="rId609" xr:uid="{00000000-0004-0000-0200-000060020000}"/>
    <hyperlink ref="G573" r:id="rId610" xr:uid="{00000000-0004-0000-0200-000061020000}"/>
    <hyperlink ref="F574" r:id="rId611" xr:uid="{00000000-0004-0000-0200-000062020000}"/>
    <hyperlink ref="G574" r:id="rId612" xr:uid="{00000000-0004-0000-0200-000063020000}"/>
    <hyperlink ref="F575" r:id="rId613" xr:uid="{00000000-0004-0000-0200-000064020000}"/>
    <hyperlink ref="F576" r:id="rId614" xr:uid="{00000000-0004-0000-0200-000065020000}"/>
    <hyperlink ref="G576" r:id="rId615" xr:uid="{00000000-0004-0000-0200-000066020000}"/>
    <hyperlink ref="F577" r:id="rId616" xr:uid="{00000000-0004-0000-0200-000067020000}"/>
    <hyperlink ref="G577" r:id="rId617" xr:uid="{00000000-0004-0000-0200-000068020000}"/>
    <hyperlink ref="F578" r:id="rId618" xr:uid="{00000000-0004-0000-0200-000069020000}"/>
    <hyperlink ref="G579" r:id="rId619" xr:uid="{00000000-0004-0000-0200-00006A020000}"/>
    <hyperlink ref="F580" r:id="rId620" xr:uid="{00000000-0004-0000-0200-00006B020000}"/>
    <hyperlink ref="F581" r:id="rId621" xr:uid="{00000000-0004-0000-0200-00006C020000}"/>
    <hyperlink ref="S581" r:id="rId622" xr:uid="{00000000-0004-0000-0200-00006D020000}"/>
    <hyperlink ref="G582" r:id="rId623" xr:uid="{00000000-0004-0000-0200-00006E020000}"/>
    <hyperlink ref="S583" r:id="rId624" xr:uid="{00000000-0004-0000-0200-00006F020000}"/>
    <hyperlink ref="F584" r:id="rId625" xr:uid="{00000000-0004-0000-0200-000070020000}"/>
    <hyperlink ref="G584" r:id="rId626" xr:uid="{00000000-0004-0000-0200-000071020000}"/>
    <hyperlink ref="S584" r:id="rId627" xr:uid="{00000000-0004-0000-0200-000072020000}"/>
    <hyperlink ref="F585" r:id="rId628" xr:uid="{00000000-0004-0000-0200-000073020000}"/>
    <hyperlink ref="S585" r:id="rId629" xr:uid="{00000000-0004-0000-0200-000074020000}"/>
    <hyperlink ref="G586" r:id="rId630" xr:uid="{00000000-0004-0000-0200-000075020000}"/>
    <hyperlink ref="S586" r:id="rId631" xr:uid="{00000000-0004-0000-0200-000076020000}"/>
    <hyperlink ref="G587" r:id="rId632" xr:uid="{00000000-0004-0000-0200-000077020000}"/>
    <hyperlink ref="F588" r:id="rId633" xr:uid="{00000000-0004-0000-0200-000078020000}"/>
    <hyperlink ref="G588" r:id="rId634" xr:uid="{00000000-0004-0000-0200-000079020000}"/>
    <hyperlink ref="S588" r:id="rId635" xr:uid="{00000000-0004-0000-0200-00007A020000}"/>
    <hyperlink ref="G589" r:id="rId636" xr:uid="{00000000-0004-0000-0200-00007B020000}"/>
    <hyperlink ref="F592" r:id="rId637" xr:uid="{00000000-0004-0000-0200-00007C020000}"/>
    <hyperlink ref="S592" r:id="rId638" xr:uid="{00000000-0004-0000-0200-00007D020000}"/>
    <hyperlink ref="F593" r:id="rId639" xr:uid="{00000000-0004-0000-0200-00007E020000}"/>
    <hyperlink ref="F594" r:id="rId640" xr:uid="{00000000-0004-0000-0200-00007F020000}"/>
    <hyperlink ref="G594" r:id="rId641" xr:uid="{00000000-0004-0000-0200-000080020000}"/>
    <hyperlink ref="G595" r:id="rId642" xr:uid="{00000000-0004-0000-0200-000081020000}"/>
    <hyperlink ref="F597" r:id="rId643" xr:uid="{00000000-0004-0000-0200-000082020000}"/>
    <hyperlink ref="F599" r:id="rId644" xr:uid="{00000000-0004-0000-0200-000083020000}"/>
    <hyperlink ref="G599" r:id="rId645" xr:uid="{00000000-0004-0000-0200-000084020000}"/>
    <hyperlink ref="S600" r:id="rId646" xr:uid="{00000000-0004-0000-0200-000085020000}"/>
    <hyperlink ref="G602" r:id="rId647" xr:uid="{00000000-0004-0000-0200-000086020000}"/>
    <hyperlink ref="S602" r:id="rId648" xr:uid="{00000000-0004-0000-0200-000087020000}"/>
    <hyperlink ref="F603" r:id="rId649" xr:uid="{00000000-0004-0000-0200-000088020000}"/>
    <hyperlink ref="G603" r:id="rId650" xr:uid="{00000000-0004-0000-0200-000089020000}"/>
    <hyperlink ref="G607" r:id="rId651" xr:uid="{00000000-0004-0000-0200-00008A020000}"/>
    <hyperlink ref="F608" r:id="rId652" xr:uid="{00000000-0004-0000-0200-00008B020000}"/>
    <hyperlink ref="G608" r:id="rId653" xr:uid="{00000000-0004-0000-0200-00008C020000}"/>
    <hyperlink ref="S608" r:id="rId654" xr:uid="{00000000-0004-0000-0200-00008D020000}"/>
    <hyperlink ref="G609" r:id="rId655" xr:uid="{00000000-0004-0000-0200-00008E020000}"/>
    <hyperlink ref="S609" r:id="rId656" xr:uid="{00000000-0004-0000-0200-00008F020000}"/>
    <hyperlink ref="F610" r:id="rId657" xr:uid="{00000000-0004-0000-0200-000090020000}"/>
    <hyperlink ref="G611" r:id="rId658" xr:uid="{00000000-0004-0000-0200-000091020000}"/>
    <hyperlink ref="S612" r:id="rId659" xr:uid="{00000000-0004-0000-0200-000092020000}"/>
    <hyperlink ref="F613" r:id="rId660" xr:uid="{00000000-0004-0000-0200-000093020000}"/>
    <hyperlink ref="G613" r:id="rId661" xr:uid="{00000000-0004-0000-0200-000094020000}"/>
    <hyperlink ref="G614" r:id="rId662" xr:uid="{00000000-0004-0000-0200-000095020000}"/>
    <hyperlink ref="F615" r:id="rId663" xr:uid="{00000000-0004-0000-0200-000096020000}"/>
    <hyperlink ref="S615" r:id="rId664" xr:uid="{00000000-0004-0000-0200-000097020000}"/>
    <hyperlink ref="F617" r:id="rId665" xr:uid="{00000000-0004-0000-0200-000098020000}"/>
    <hyperlink ref="S617" r:id="rId666" xr:uid="{00000000-0004-0000-0200-000099020000}"/>
    <hyperlink ref="F620" r:id="rId667" xr:uid="{00000000-0004-0000-0200-00009A020000}"/>
    <hyperlink ref="S620" r:id="rId668" xr:uid="{00000000-0004-0000-0200-00009B020000}"/>
    <hyperlink ref="G621" r:id="rId669" xr:uid="{00000000-0004-0000-0200-00009C020000}"/>
    <hyperlink ref="S621" r:id="rId670" xr:uid="{00000000-0004-0000-0200-00009D020000}"/>
    <hyperlink ref="G622" r:id="rId671" xr:uid="{00000000-0004-0000-0200-00009E020000}"/>
    <hyperlink ref="F626" r:id="rId672" xr:uid="{00000000-0004-0000-0200-00009F020000}"/>
    <hyperlink ref="G626" r:id="rId673" xr:uid="{00000000-0004-0000-0200-0000A0020000}"/>
    <hyperlink ref="G627" r:id="rId674" xr:uid="{00000000-0004-0000-0200-0000A1020000}"/>
    <hyperlink ref="S627" r:id="rId675" xr:uid="{00000000-0004-0000-0200-0000A2020000}"/>
    <hyperlink ref="G629" r:id="rId676" xr:uid="{00000000-0004-0000-0200-0000A3020000}"/>
    <hyperlink ref="F630" r:id="rId677" xr:uid="{00000000-0004-0000-0200-0000A4020000}"/>
    <hyperlink ref="G630" r:id="rId678" xr:uid="{00000000-0004-0000-0200-0000A5020000}"/>
    <hyperlink ref="F631" r:id="rId679" xr:uid="{00000000-0004-0000-0200-0000A6020000}"/>
    <hyperlink ref="F632" r:id="rId680" xr:uid="{00000000-0004-0000-0200-0000A7020000}"/>
    <hyperlink ref="G632" r:id="rId681" xr:uid="{00000000-0004-0000-0200-0000A8020000}"/>
    <hyperlink ref="F633" r:id="rId682" xr:uid="{00000000-0004-0000-0200-0000A9020000}"/>
    <hyperlink ref="F634" r:id="rId683" xr:uid="{00000000-0004-0000-0200-0000AA020000}"/>
    <hyperlink ref="G634" r:id="rId684" xr:uid="{00000000-0004-0000-0200-0000AB020000}"/>
    <hyperlink ref="F635" r:id="rId685" xr:uid="{00000000-0004-0000-0200-0000AC020000}"/>
    <hyperlink ref="F636" r:id="rId686" xr:uid="{00000000-0004-0000-0200-0000AD020000}"/>
    <hyperlink ref="G636" r:id="rId687" xr:uid="{00000000-0004-0000-0200-0000AE020000}"/>
    <hyperlink ref="F637" r:id="rId688" xr:uid="{00000000-0004-0000-0200-0000AF020000}"/>
    <hyperlink ref="G637" r:id="rId689" xr:uid="{00000000-0004-0000-0200-0000B0020000}"/>
    <hyperlink ref="S637" r:id="rId690" xr:uid="{00000000-0004-0000-0200-0000B1020000}"/>
    <hyperlink ref="F638" r:id="rId691" xr:uid="{00000000-0004-0000-0200-0000B2020000}"/>
    <hyperlink ref="R638" r:id="rId692" xr:uid="{00000000-0004-0000-0200-0000B3020000}"/>
    <hyperlink ref="S643" r:id="rId693" xr:uid="{00000000-0004-0000-0200-0000B4020000}"/>
    <hyperlink ref="F644" r:id="rId694" xr:uid="{00000000-0004-0000-0200-0000B5020000}"/>
    <hyperlink ref="G645" r:id="rId695" xr:uid="{00000000-0004-0000-0200-0000B6020000}"/>
    <hyperlink ref="S647" r:id="rId696" xr:uid="{00000000-0004-0000-0200-0000B7020000}"/>
    <hyperlink ref="G648" r:id="rId697" xr:uid="{00000000-0004-0000-0200-0000B8020000}"/>
    <hyperlink ref="G649" r:id="rId698" xr:uid="{00000000-0004-0000-0200-0000B9020000}"/>
    <hyperlink ref="S650" r:id="rId699" xr:uid="{00000000-0004-0000-0200-0000BA020000}"/>
    <hyperlink ref="G652" r:id="rId700" xr:uid="{00000000-0004-0000-0200-0000BB020000}"/>
    <hyperlink ref="G653" r:id="rId701" xr:uid="{00000000-0004-0000-0200-0000BC020000}"/>
    <hyperlink ref="F654" r:id="rId702" xr:uid="{00000000-0004-0000-0200-0000BD020000}"/>
    <hyperlink ref="F655" r:id="rId703" xr:uid="{00000000-0004-0000-0200-0000BE020000}"/>
    <hyperlink ref="G655" r:id="rId704" xr:uid="{00000000-0004-0000-0200-0000BF020000}"/>
    <hyperlink ref="S655" r:id="rId705" xr:uid="{00000000-0004-0000-0200-0000C0020000}"/>
    <hyperlink ref="G657" r:id="rId706" xr:uid="{00000000-0004-0000-0200-0000C1020000}"/>
    <hyperlink ref="G659" r:id="rId707" xr:uid="{00000000-0004-0000-0200-0000C2020000}"/>
    <hyperlink ref="S659" r:id="rId708" xr:uid="{00000000-0004-0000-0200-0000C3020000}"/>
    <hyperlink ref="F660" r:id="rId709" xr:uid="{00000000-0004-0000-0200-0000C4020000}"/>
    <hyperlink ref="G660" r:id="rId710" xr:uid="{00000000-0004-0000-0200-0000C5020000}"/>
    <hyperlink ref="S660" r:id="rId711" xr:uid="{00000000-0004-0000-0200-0000C6020000}"/>
    <hyperlink ref="G661" r:id="rId712" xr:uid="{00000000-0004-0000-0200-0000C7020000}"/>
    <hyperlink ref="F664" r:id="rId713" xr:uid="{00000000-0004-0000-0200-0000C8020000}"/>
    <hyperlink ref="G664" r:id="rId714" xr:uid="{00000000-0004-0000-0200-0000C9020000}"/>
    <hyperlink ref="F666" r:id="rId715" xr:uid="{00000000-0004-0000-0200-0000CA020000}"/>
    <hyperlink ref="F667" r:id="rId716" xr:uid="{00000000-0004-0000-0200-0000CB020000}"/>
    <hyperlink ref="G667" r:id="rId717" xr:uid="{00000000-0004-0000-0200-0000CC020000}"/>
    <hyperlink ref="S669" r:id="rId718" xr:uid="{00000000-0004-0000-0200-0000CD020000}"/>
    <hyperlink ref="F671" r:id="rId719" xr:uid="{00000000-0004-0000-0200-0000CE020000}"/>
    <hyperlink ref="F672" r:id="rId720" xr:uid="{00000000-0004-0000-0200-0000CF020000}"/>
    <hyperlink ref="S672" r:id="rId721" xr:uid="{00000000-0004-0000-0200-0000D0020000}"/>
    <hyperlink ref="G673" r:id="rId722" xr:uid="{00000000-0004-0000-0200-0000D1020000}"/>
    <hyperlink ref="F675" r:id="rId723" xr:uid="{00000000-0004-0000-0200-0000D2020000}"/>
    <hyperlink ref="G675" r:id="rId724" xr:uid="{00000000-0004-0000-0200-0000D3020000}"/>
    <hyperlink ref="F676" r:id="rId725" xr:uid="{00000000-0004-0000-0200-0000D4020000}"/>
    <hyperlink ref="G676" r:id="rId726" xr:uid="{00000000-0004-0000-0200-0000D5020000}"/>
    <hyperlink ref="G677" r:id="rId727" xr:uid="{00000000-0004-0000-0200-0000D6020000}"/>
    <hyperlink ref="F680" r:id="rId728" xr:uid="{00000000-0004-0000-0200-0000D7020000}"/>
    <hyperlink ref="S680" r:id="rId729" xr:uid="{00000000-0004-0000-0200-0000D8020000}"/>
    <hyperlink ref="G681" r:id="rId730" xr:uid="{00000000-0004-0000-0200-0000D9020000}"/>
    <hyperlink ref="S681" r:id="rId731" xr:uid="{00000000-0004-0000-0200-0000DA020000}"/>
    <hyperlink ref="F682" r:id="rId732" xr:uid="{00000000-0004-0000-0200-0000DB020000}"/>
    <hyperlink ref="S683" r:id="rId733" xr:uid="{00000000-0004-0000-0200-0000DC020000}"/>
    <hyperlink ref="G686" r:id="rId734" xr:uid="{00000000-0004-0000-0200-0000DD020000}"/>
    <hyperlink ref="S686" r:id="rId735" xr:uid="{00000000-0004-0000-0200-0000DE020000}"/>
    <hyperlink ref="F687" r:id="rId736" xr:uid="{00000000-0004-0000-0200-0000DF020000}"/>
    <hyperlink ref="G688" r:id="rId737" xr:uid="{00000000-0004-0000-0200-0000E0020000}"/>
    <hyperlink ref="G689" r:id="rId738" xr:uid="{00000000-0004-0000-0200-0000E1020000}"/>
    <hyperlink ref="G690" r:id="rId739" xr:uid="{00000000-0004-0000-0200-0000E2020000}"/>
    <hyperlink ref="F691" r:id="rId740" xr:uid="{00000000-0004-0000-0200-0000E3020000}"/>
    <hyperlink ref="G691" r:id="rId741" xr:uid="{00000000-0004-0000-0200-0000E4020000}"/>
    <hyperlink ref="S693" r:id="rId742" xr:uid="{00000000-0004-0000-0200-0000E5020000}"/>
    <hyperlink ref="F694" r:id="rId743" xr:uid="{00000000-0004-0000-0200-0000E6020000}"/>
    <hyperlink ref="F695" r:id="rId744" xr:uid="{00000000-0004-0000-0200-0000E7020000}"/>
    <hyperlink ref="F696" r:id="rId745" xr:uid="{00000000-0004-0000-0200-0000E8020000}"/>
    <hyperlink ref="G696" r:id="rId746" xr:uid="{00000000-0004-0000-0200-0000E9020000}"/>
    <hyperlink ref="S698" r:id="rId747" xr:uid="{00000000-0004-0000-0200-0000EA020000}"/>
    <hyperlink ref="F700" r:id="rId748" xr:uid="{00000000-0004-0000-0200-0000EB020000}"/>
    <hyperlink ref="G702" r:id="rId749" xr:uid="{00000000-0004-0000-0200-0000EC020000}"/>
    <hyperlink ref="S702" r:id="rId750" xr:uid="{00000000-0004-0000-0200-0000ED020000}"/>
    <hyperlink ref="F703" r:id="rId751" xr:uid="{00000000-0004-0000-0200-0000EE020000}"/>
    <hyperlink ref="G703" r:id="rId752" xr:uid="{00000000-0004-0000-0200-0000EF020000}"/>
    <hyperlink ref="F704" r:id="rId753" xr:uid="{00000000-0004-0000-0200-0000F0020000}"/>
    <hyperlink ref="S704" r:id="rId754" xr:uid="{00000000-0004-0000-0200-0000F1020000}"/>
    <hyperlink ref="G705" r:id="rId755" xr:uid="{00000000-0004-0000-0200-0000F2020000}"/>
    <hyperlink ref="F706" r:id="rId756" xr:uid="{00000000-0004-0000-0200-0000F3020000}"/>
    <hyperlink ref="G706" r:id="rId757" xr:uid="{00000000-0004-0000-0200-0000F4020000}"/>
    <hyperlink ref="S707" r:id="rId758" xr:uid="{00000000-0004-0000-0200-0000F5020000}"/>
    <hyperlink ref="S709" r:id="rId759" xr:uid="{00000000-0004-0000-0200-0000F6020000}"/>
    <hyperlink ref="F710" r:id="rId760" xr:uid="{00000000-0004-0000-0200-0000F7020000}"/>
    <hyperlink ref="G710" r:id="rId761" xr:uid="{00000000-0004-0000-0200-0000F8020000}"/>
    <hyperlink ref="F711" r:id="rId762" xr:uid="{00000000-0004-0000-0200-0000F9020000}"/>
    <hyperlink ref="G711" r:id="rId763" xr:uid="{00000000-0004-0000-0200-0000FA020000}"/>
    <hyperlink ref="S712" r:id="rId764" xr:uid="{00000000-0004-0000-0200-0000FB020000}"/>
    <hyperlink ref="F713" r:id="rId765" xr:uid="{00000000-0004-0000-0200-0000FC020000}"/>
    <hyperlink ref="S713" r:id="rId766" xr:uid="{00000000-0004-0000-0200-0000FD020000}"/>
    <hyperlink ref="F714" r:id="rId767" xr:uid="{00000000-0004-0000-0200-0000FE020000}"/>
    <hyperlink ref="G714" r:id="rId768" xr:uid="{00000000-0004-0000-0200-0000FF020000}"/>
    <hyperlink ref="G716" r:id="rId769" xr:uid="{00000000-0004-0000-0200-000000030000}"/>
    <hyperlink ref="F717" r:id="rId770" xr:uid="{00000000-0004-0000-0200-000001030000}"/>
    <hyperlink ref="S717" r:id="rId771" xr:uid="{00000000-0004-0000-0200-000002030000}"/>
    <hyperlink ref="G718" r:id="rId772" xr:uid="{00000000-0004-0000-0200-000003030000}"/>
    <hyperlink ref="F719" r:id="rId773" xr:uid="{00000000-0004-0000-0200-000004030000}"/>
    <hyperlink ref="F720" r:id="rId774" xr:uid="{00000000-0004-0000-0200-000005030000}"/>
    <hyperlink ref="G721" r:id="rId775" xr:uid="{00000000-0004-0000-0200-000006030000}"/>
    <hyperlink ref="S721" r:id="rId776" xr:uid="{00000000-0004-0000-0200-000007030000}"/>
    <hyperlink ref="F722" r:id="rId777" xr:uid="{00000000-0004-0000-0200-000008030000}"/>
    <hyperlink ref="F723" r:id="rId778" xr:uid="{00000000-0004-0000-0200-000009030000}"/>
    <hyperlink ref="S723" r:id="rId779" xr:uid="{00000000-0004-0000-0200-00000A030000}"/>
    <hyperlink ref="F724" r:id="rId780" xr:uid="{00000000-0004-0000-0200-00000B030000}"/>
    <hyperlink ref="G724" r:id="rId781" xr:uid="{00000000-0004-0000-0200-00000C030000}"/>
    <hyperlink ref="G725" r:id="rId782" xr:uid="{00000000-0004-0000-0200-00000D030000}"/>
    <hyperlink ref="G729" r:id="rId783" xr:uid="{00000000-0004-0000-0200-00000E030000}"/>
    <hyperlink ref="S729" r:id="rId784" xr:uid="{00000000-0004-0000-0200-00000F030000}"/>
    <hyperlink ref="F731" r:id="rId785" xr:uid="{00000000-0004-0000-0200-000010030000}"/>
    <hyperlink ref="G732" r:id="rId786" xr:uid="{00000000-0004-0000-0200-000011030000}"/>
    <hyperlink ref="F733" r:id="rId787" xr:uid="{00000000-0004-0000-0200-000012030000}"/>
    <hyperlink ref="G733" r:id="rId788" xr:uid="{00000000-0004-0000-0200-000013030000}"/>
    <hyperlink ref="F734" r:id="rId789" xr:uid="{00000000-0004-0000-0200-000014030000}"/>
    <hyperlink ref="F735" r:id="rId790" xr:uid="{00000000-0004-0000-0200-000015030000}"/>
    <hyperlink ref="F736" r:id="rId791" xr:uid="{00000000-0004-0000-0200-000016030000}"/>
    <hyperlink ref="G736" r:id="rId792" xr:uid="{00000000-0004-0000-0200-000017030000}"/>
    <hyperlink ref="G739" r:id="rId793" xr:uid="{00000000-0004-0000-0200-000018030000}"/>
    <hyperlink ref="F740" r:id="rId794" xr:uid="{00000000-0004-0000-0200-000019030000}"/>
    <hyperlink ref="G740" r:id="rId795" xr:uid="{00000000-0004-0000-0200-00001A030000}"/>
    <hyperlink ref="F741" r:id="rId796" xr:uid="{00000000-0004-0000-0200-00001B030000}"/>
    <hyperlink ref="S741" r:id="rId797" xr:uid="{00000000-0004-0000-0200-00001C030000}"/>
    <hyperlink ref="F742" r:id="rId798" xr:uid="{00000000-0004-0000-0200-00001D030000}"/>
    <hyperlink ref="G743" r:id="rId799" xr:uid="{00000000-0004-0000-0200-00001E030000}"/>
    <hyperlink ref="S743" r:id="rId800" xr:uid="{00000000-0004-0000-0200-00001F030000}"/>
    <hyperlink ref="G744" r:id="rId801" xr:uid="{00000000-0004-0000-0200-000020030000}"/>
    <hyperlink ref="G746" r:id="rId802" xr:uid="{00000000-0004-0000-0200-000021030000}"/>
    <hyperlink ref="S748" r:id="rId803" xr:uid="{00000000-0004-0000-0200-000022030000}"/>
    <hyperlink ref="F749" r:id="rId804" xr:uid="{00000000-0004-0000-0200-000023030000}"/>
    <hyperlink ref="G749" r:id="rId805" xr:uid="{00000000-0004-0000-0200-000024030000}"/>
    <hyperlink ref="F750" r:id="rId806" xr:uid="{00000000-0004-0000-0200-000025030000}"/>
    <hyperlink ref="F752" r:id="rId807" xr:uid="{00000000-0004-0000-0200-000026030000}"/>
    <hyperlink ref="G752" r:id="rId808" xr:uid="{00000000-0004-0000-0200-000027030000}"/>
    <hyperlink ref="G753" r:id="rId809" xr:uid="{00000000-0004-0000-0200-000028030000}"/>
    <hyperlink ref="S753" r:id="rId810" xr:uid="{00000000-0004-0000-0200-000029030000}"/>
    <hyperlink ref="F754" r:id="rId811" xr:uid="{00000000-0004-0000-0200-00002A030000}"/>
    <hyperlink ref="G755" r:id="rId812" xr:uid="{00000000-0004-0000-0200-00002B030000}"/>
    <hyperlink ref="S755" r:id="rId813" xr:uid="{00000000-0004-0000-0200-00002C030000}"/>
    <hyperlink ref="F756" r:id="rId814" xr:uid="{00000000-0004-0000-0200-00002D030000}"/>
    <hyperlink ref="S756" r:id="rId815" xr:uid="{00000000-0004-0000-0200-00002E030000}"/>
    <hyperlink ref="F757" r:id="rId816" xr:uid="{00000000-0004-0000-0200-00002F030000}"/>
    <hyperlink ref="F759" r:id="rId817" xr:uid="{00000000-0004-0000-0200-000030030000}"/>
    <hyperlink ref="G759" r:id="rId818" xr:uid="{00000000-0004-0000-0200-000031030000}"/>
    <hyperlink ref="F760" r:id="rId819" xr:uid="{00000000-0004-0000-0200-000032030000}"/>
    <hyperlink ref="G760" r:id="rId820" xr:uid="{00000000-0004-0000-0200-000033030000}"/>
    <hyperlink ref="G761" r:id="rId821" xr:uid="{00000000-0004-0000-0200-000034030000}"/>
    <hyperlink ref="G763" r:id="rId822" xr:uid="{00000000-0004-0000-0200-000035030000}"/>
    <hyperlink ref="G764" r:id="rId823" xr:uid="{00000000-0004-0000-0200-000036030000}"/>
    <hyperlink ref="S764" r:id="rId824" xr:uid="{00000000-0004-0000-0200-000037030000}"/>
    <hyperlink ref="G765" r:id="rId825" xr:uid="{00000000-0004-0000-0200-000038030000}"/>
    <hyperlink ref="G766" r:id="rId826" xr:uid="{00000000-0004-0000-0200-000039030000}"/>
    <hyperlink ref="G767" r:id="rId827" xr:uid="{00000000-0004-0000-0200-00003A030000}"/>
    <hyperlink ref="F768" r:id="rId828" xr:uid="{00000000-0004-0000-0200-00003B030000}"/>
    <hyperlink ref="G768" r:id="rId829" xr:uid="{00000000-0004-0000-0200-00003C030000}"/>
    <hyperlink ref="S768" r:id="rId830" xr:uid="{00000000-0004-0000-0200-00003D030000}"/>
    <hyperlink ref="F769" r:id="rId831" location=".XAlJ_cBtgzV.twitter" xr:uid="{00000000-0004-0000-0200-00003E030000}"/>
    <hyperlink ref="S769" r:id="rId832" xr:uid="{00000000-0004-0000-0200-00003F030000}"/>
    <hyperlink ref="F770" r:id="rId833" xr:uid="{00000000-0004-0000-0200-000040030000}"/>
    <hyperlink ref="S770" r:id="rId834" xr:uid="{00000000-0004-0000-0200-000041030000}"/>
    <hyperlink ref="G772" r:id="rId835" xr:uid="{00000000-0004-0000-0200-000042030000}"/>
    <hyperlink ref="G773" r:id="rId836" xr:uid="{00000000-0004-0000-0200-000043030000}"/>
    <hyperlink ref="S773" r:id="rId837" xr:uid="{00000000-0004-0000-0200-000044030000}"/>
    <hyperlink ref="G776" r:id="rId838" xr:uid="{00000000-0004-0000-0200-000045030000}"/>
    <hyperlink ref="F777" r:id="rId839" xr:uid="{00000000-0004-0000-0200-000046030000}"/>
    <hyperlink ref="G777" r:id="rId840" xr:uid="{00000000-0004-0000-0200-000047030000}"/>
    <hyperlink ref="S777" r:id="rId841" xr:uid="{00000000-0004-0000-0200-000048030000}"/>
    <hyperlink ref="G778" r:id="rId842" xr:uid="{00000000-0004-0000-0200-000049030000}"/>
    <hyperlink ref="S778" r:id="rId843" xr:uid="{00000000-0004-0000-0200-00004A030000}"/>
    <hyperlink ref="F780" r:id="rId844" xr:uid="{00000000-0004-0000-0200-00004B030000}"/>
    <hyperlink ref="F783" r:id="rId845" xr:uid="{00000000-0004-0000-0200-00004C030000}"/>
    <hyperlink ref="S783" r:id="rId846" xr:uid="{00000000-0004-0000-0200-00004D030000}"/>
    <hyperlink ref="F785" r:id="rId847" xr:uid="{00000000-0004-0000-0200-00004E030000}"/>
    <hyperlink ref="F786" r:id="rId848" location="ns_campaign=gs-ms&amp;ns_mchannel=diariosur&amp;ns_source=tw&amp;ns_linkname=ltl" xr:uid="{00000000-0004-0000-0200-00004F030000}"/>
    <hyperlink ref="S786" r:id="rId849" xr:uid="{00000000-0004-0000-0200-000050030000}"/>
    <hyperlink ref="F787" r:id="rId850" xr:uid="{00000000-0004-0000-0200-000051030000}"/>
    <hyperlink ref="S787" r:id="rId851" xr:uid="{00000000-0004-0000-0200-000052030000}"/>
    <hyperlink ref="S788" r:id="rId852" xr:uid="{00000000-0004-0000-0200-000053030000}"/>
    <hyperlink ref="G790" r:id="rId853" xr:uid="{00000000-0004-0000-0200-000054030000}"/>
    <hyperlink ref="F791" r:id="rId854" xr:uid="{00000000-0004-0000-0200-000055030000}"/>
    <hyperlink ref="F792" r:id="rId855" xr:uid="{00000000-0004-0000-0200-000056030000}"/>
    <hyperlink ref="G792" r:id="rId856" xr:uid="{00000000-0004-0000-0200-000057030000}"/>
    <hyperlink ref="G793" r:id="rId857" xr:uid="{00000000-0004-0000-0200-000058030000}"/>
    <hyperlink ref="F794" r:id="rId858" xr:uid="{00000000-0004-0000-0200-000059030000}"/>
    <hyperlink ref="G795" r:id="rId859" xr:uid="{00000000-0004-0000-0200-00005A030000}"/>
    <hyperlink ref="S795" r:id="rId860" xr:uid="{00000000-0004-0000-0200-00005B030000}"/>
    <hyperlink ref="G796" r:id="rId861" xr:uid="{00000000-0004-0000-0200-00005C030000}"/>
    <hyperlink ref="S796" r:id="rId862" xr:uid="{00000000-0004-0000-0200-00005D030000}"/>
    <hyperlink ref="G797" r:id="rId863" xr:uid="{00000000-0004-0000-0200-00005E030000}"/>
    <hyperlink ref="G798" r:id="rId864" xr:uid="{00000000-0004-0000-0200-00005F030000}"/>
    <hyperlink ref="F799" r:id="rId865" xr:uid="{00000000-0004-0000-0200-000060030000}"/>
    <hyperlink ref="G799" r:id="rId866" xr:uid="{00000000-0004-0000-0200-000061030000}"/>
    <hyperlink ref="S799" r:id="rId867" xr:uid="{00000000-0004-0000-0200-000062030000}"/>
    <hyperlink ref="F800" r:id="rId868" xr:uid="{00000000-0004-0000-0200-000063030000}"/>
    <hyperlink ref="F802" r:id="rId869" xr:uid="{00000000-0004-0000-0200-000064030000}"/>
    <hyperlink ref="S802" r:id="rId870" xr:uid="{00000000-0004-0000-0200-000065030000}"/>
    <hyperlink ref="G803" r:id="rId871" xr:uid="{00000000-0004-0000-0200-000066030000}"/>
    <hyperlink ref="G804" r:id="rId872" xr:uid="{00000000-0004-0000-0200-000067030000}"/>
    <hyperlink ref="S804" r:id="rId873" xr:uid="{00000000-0004-0000-0200-000068030000}"/>
    <hyperlink ref="G805" r:id="rId874" xr:uid="{00000000-0004-0000-0200-000069030000}"/>
    <hyperlink ref="F809" r:id="rId875" xr:uid="{00000000-0004-0000-0200-00006A030000}"/>
    <hyperlink ref="G810" r:id="rId876" xr:uid="{00000000-0004-0000-0200-00006B030000}"/>
    <hyperlink ref="F811" r:id="rId877" xr:uid="{00000000-0004-0000-0200-00006C030000}"/>
    <hyperlink ref="G811" r:id="rId878" xr:uid="{00000000-0004-0000-0200-00006D030000}"/>
    <hyperlink ref="G813" r:id="rId879" xr:uid="{00000000-0004-0000-0200-00006E030000}"/>
    <hyperlink ref="F814" r:id="rId880" xr:uid="{00000000-0004-0000-0200-00006F030000}"/>
    <hyperlink ref="S814" r:id="rId881" xr:uid="{00000000-0004-0000-0200-000070030000}"/>
    <hyperlink ref="G815" r:id="rId882" xr:uid="{00000000-0004-0000-0200-000071030000}"/>
    <hyperlink ref="S815" r:id="rId883" xr:uid="{00000000-0004-0000-0200-000072030000}"/>
    <hyperlink ref="G816" r:id="rId884" xr:uid="{00000000-0004-0000-0200-000073030000}"/>
    <hyperlink ref="F818" r:id="rId885" xr:uid="{00000000-0004-0000-0200-000074030000}"/>
    <hyperlink ref="G819" r:id="rId886" xr:uid="{00000000-0004-0000-0200-000075030000}"/>
    <hyperlink ref="F820" r:id="rId887" xr:uid="{00000000-0004-0000-0200-000076030000}"/>
    <hyperlink ref="G822" r:id="rId888" xr:uid="{00000000-0004-0000-0200-000077030000}"/>
    <hyperlink ref="G824" r:id="rId889" xr:uid="{00000000-0004-0000-0200-000078030000}"/>
    <hyperlink ref="F825" r:id="rId890" xr:uid="{00000000-0004-0000-0200-000079030000}"/>
    <hyperlink ref="G825" r:id="rId891" xr:uid="{00000000-0004-0000-0200-00007A030000}"/>
    <hyperlink ref="F826" r:id="rId892" location=".XAkhqCAqukY.twitter" xr:uid="{00000000-0004-0000-0200-00007B030000}"/>
    <hyperlink ref="G827" r:id="rId893" xr:uid="{00000000-0004-0000-0200-00007C030000}"/>
    <hyperlink ref="G828" r:id="rId894" xr:uid="{00000000-0004-0000-0200-00007D030000}"/>
    <hyperlink ref="F829" r:id="rId895" xr:uid="{00000000-0004-0000-0200-00007E030000}"/>
    <hyperlink ref="F831" r:id="rId896" xr:uid="{00000000-0004-0000-0200-00007F030000}"/>
    <hyperlink ref="G833" r:id="rId897" xr:uid="{00000000-0004-0000-0200-000080030000}"/>
    <hyperlink ref="F834" r:id="rId898" xr:uid="{00000000-0004-0000-0200-000081030000}"/>
    <hyperlink ref="F836" r:id="rId899" xr:uid="{00000000-0004-0000-0200-000082030000}"/>
    <hyperlink ref="G836" r:id="rId900" xr:uid="{00000000-0004-0000-0200-000083030000}"/>
    <hyperlink ref="G837" r:id="rId901" xr:uid="{00000000-0004-0000-0200-000084030000}"/>
    <hyperlink ref="F838" r:id="rId902" xr:uid="{00000000-0004-0000-0200-000085030000}"/>
    <hyperlink ref="F840" r:id="rId903" xr:uid="{00000000-0004-0000-0200-000086030000}"/>
    <hyperlink ref="G840" r:id="rId904" xr:uid="{00000000-0004-0000-0200-000087030000}"/>
    <hyperlink ref="S840" r:id="rId905" xr:uid="{00000000-0004-0000-0200-000088030000}"/>
    <hyperlink ref="G841" r:id="rId906" xr:uid="{00000000-0004-0000-0200-000089030000}"/>
    <hyperlink ref="S841" r:id="rId907" xr:uid="{00000000-0004-0000-0200-00008A030000}"/>
    <hyperlink ref="G844" r:id="rId908" xr:uid="{00000000-0004-0000-0200-00008B030000}"/>
    <hyperlink ref="F845" r:id="rId909" xr:uid="{00000000-0004-0000-0200-00008C030000}"/>
    <hyperlink ref="S845" r:id="rId910" xr:uid="{00000000-0004-0000-0200-00008D030000}"/>
    <hyperlink ref="F846" r:id="rId911" xr:uid="{00000000-0004-0000-0200-00008E030000}"/>
    <hyperlink ref="G846" r:id="rId912" xr:uid="{00000000-0004-0000-0200-00008F030000}"/>
    <hyperlink ref="S847" r:id="rId913" xr:uid="{00000000-0004-0000-0200-000090030000}"/>
    <hyperlink ref="F848" r:id="rId914" xr:uid="{00000000-0004-0000-0200-000091030000}"/>
    <hyperlink ref="G850" r:id="rId915" xr:uid="{00000000-0004-0000-0200-000092030000}"/>
    <hyperlink ref="G851" r:id="rId916" xr:uid="{00000000-0004-0000-0200-000093030000}"/>
    <hyperlink ref="G852" r:id="rId917" xr:uid="{00000000-0004-0000-0200-000094030000}"/>
    <hyperlink ref="F856" r:id="rId918" xr:uid="{00000000-0004-0000-0200-000095030000}"/>
    <hyperlink ref="G858" r:id="rId919" xr:uid="{00000000-0004-0000-0200-000096030000}"/>
    <hyperlink ref="G859" r:id="rId920" xr:uid="{00000000-0004-0000-0200-000097030000}"/>
    <hyperlink ref="G861" r:id="rId921" xr:uid="{00000000-0004-0000-0200-000098030000}"/>
    <hyperlink ref="S861" r:id="rId922" xr:uid="{00000000-0004-0000-0200-000099030000}"/>
    <hyperlink ref="F862" r:id="rId923" xr:uid="{00000000-0004-0000-0200-00009A030000}"/>
    <hyperlink ref="G862" r:id="rId924" xr:uid="{00000000-0004-0000-0200-00009B030000}"/>
    <hyperlink ref="S862" r:id="rId925" xr:uid="{00000000-0004-0000-0200-00009C030000}"/>
    <hyperlink ref="F863" r:id="rId926" xr:uid="{00000000-0004-0000-0200-00009D030000}"/>
    <hyperlink ref="R863" r:id="rId927" xr:uid="{00000000-0004-0000-0200-00009E030000}"/>
    <hyperlink ref="S863" r:id="rId928" xr:uid="{00000000-0004-0000-0200-00009F030000}"/>
    <hyperlink ref="F864" r:id="rId929" xr:uid="{00000000-0004-0000-0200-0000A0030000}"/>
    <hyperlink ref="S864" r:id="rId930" xr:uid="{00000000-0004-0000-0200-0000A1030000}"/>
    <hyperlink ref="F865" r:id="rId931" xr:uid="{00000000-0004-0000-0200-0000A2030000}"/>
    <hyperlink ref="G866" r:id="rId932" xr:uid="{00000000-0004-0000-0200-0000A3030000}"/>
    <hyperlink ref="S866" r:id="rId933" xr:uid="{00000000-0004-0000-0200-0000A4030000}"/>
    <hyperlink ref="G867" r:id="rId934" xr:uid="{00000000-0004-0000-0200-0000A5030000}"/>
    <hyperlink ref="G868" r:id="rId935" xr:uid="{00000000-0004-0000-0200-0000A6030000}"/>
    <hyperlink ref="S868" r:id="rId936" xr:uid="{00000000-0004-0000-0200-0000A7030000}"/>
    <hyperlink ref="G869" r:id="rId937" xr:uid="{00000000-0004-0000-0200-0000A8030000}"/>
    <hyperlink ref="F870" r:id="rId938" xr:uid="{00000000-0004-0000-0200-0000A9030000}"/>
    <hyperlink ref="F871" r:id="rId939" xr:uid="{00000000-0004-0000-0200-0000AA030000}"/>
    <hyperlink ref="F873" r:id="rId940" location="Cargos_públicos" xr:uid="{00000000-0004-0000-0200-0000AB030000}"/>
    <hyperlink ref="G873" r:id="rId941" xr:uid="{00000000-0004-0000-0200-0000AC030000}"/>
    <hyperlink ref="G874" r:id="rId942" xr:uid="{00000000-0004-0000-0200-0000AD030000}"/>
    <hyperlink ref="F875" r:id="rId943" xr:uid="{00000000-0004-0000-0200-0000AE030000}"/>
    <hyperlink ref="G875" r:id="rId944" xr:uid="{00000000-0004-0000-0200-0000AF030000}"/>
    <hyperlink ref="G877" r:id="rId945" xr:uid="{00000000-0004-0000-0200-0000B0030000}"/>
    <hyperlink ref="S878" r:id="rId946" xr:uid="{00000000-0004-0000-0200-0000B1030000}"/>
    <hyperlink ref="G880" r:id="rId947" xr:uid="{00000000-0004-0000-0200-0000B2030000}"/>
    <hyperlink ref="F881" r:id="rId948" xr:uid="{00000000-0004-0000-0200-0000B3030000}"/>
    <hyperlink ref="S881" r:id="rId949" xr:uid="{00000000-0004-0000-0200-0000B4030000}"/>
    <hyperlink ref="F882" r:id="rId950" xr:uid="{00000000-0004-0000-0200-0000B5030000}"/>
    <hyperlink ref="S882" r:id="rId951" xr:uid="{00000000-0004-0000-0200-0000B6030000}"/>
    <hyperlink ref="F883" r:id="rId952" xr:uid="{00000000-0004-0000-0200-0000B7030000}"/>
    <hyperlink ref="G883" r:id="rId953" xr:uid="{00000000-0004-0000-0200-0000B8030000}"/>
    <hyperlink ref="S883" r:id="rId954" xr:uid="{00000000-0004-0000-0200-0000B9030000}"/>
    <hyperlink ref="G884" r:id="rId955" xr:uid="{00000000-0004-0000-0200-0000BA030000}"/>
    <hyperlink ref="F886" r:id="rId956" xr:uid="{00000000-0004-0000-0200-0000BB030000}"/>
    <hyperlink ref="F888" r:id="rId957" xr:uid="{00000000-0004-0000-0200-0000BC030000}"/>
    <hyperlink ref="F889" r:id="rId958" xr:uid="{00000000-0004-0000-0200-0000BD030000}"/>
    <hyperlink ref="S889" r:id="rId959" xr:uid="{00000000-0004-0000-0200-0000BE030000}"/>
    <hyperlink ref="F891" r:id="rId960" xr:uid="{00000000-0004-0000-0200-0000BF030000}"/>
    <hyperlink ref="G894" r:id="rId961" xr:uid="{00000000-0004-0000-0200-0000C0030000}"/>
    <hyperlink ref="G895" r:id="rId962" xr:uid="{00000000-0004-0000-0200-0000C1030000}"/>
    <hyperlink ref="S895" r:id="rId963" xr:uid="{00000000-0004-0000-0200-0000C2030000}"/>
    <hyperlink ref="F896" r:id="rId964" xr:uid="{00000000-0004-0000-0200-0000C3030000}"/>
    <hyperlink ref="G897" r:id="rId965" xr:uid="{00000000-0004-0000-0200-0000C4030000}"/>
    <hyperlink ref="F898" r:id="rId966" xr:uid="{00000000-0004-0000-0200-0000C5030000}"/>
    <hyperlink ref="F899" r:id="rId967" xr:uid="{00000000-0004-0000-0200-0000C6030000}"/>
    <hyperlink ref="S900" r:id="rId968" xr:uid="{00000000-0004-0000-0200-0000C7030000}"/>
    <hyperlink ref="G904" r:id="rId969" xr:uid="{00000000-0004-0000-0200-0000C8030000}"/>
    <hyperlink ref="G906" r:id="rId970" xr:uid="{00000000-0004-0000-0200-0000C9030000}"/>
    <hyperlink ref="S906" r:id="rId971" xr:uid="{00000000-0004-0000-0200-0000CA030000}"/>
    <hyperlink ref="G907" r:id="rId972" xr:uid="{00000000-0004-0000-0200-0000CB030000}"/>
    <hyperlink ref="F909" r:id="rId973" xr:uid="{00000000-0004-0000-0200-0000CC030000}"/>
    <hyperlink ref="F910" r:id="rId974" xr:uid="{00000000-0004-0000-0200-0000CD030000}"/>
    <hyperlink ref="G910" r:id="rId975" xr:uid="{00000000-0004-0000-0200-0000CE030000}"/>
    <hyperlink ref="F911" r:id="rId976" xr:uid="{00000000-0004-0000-0200-0000CF030000}"/>
    <hyperlink ref="G911" r:id="rId977" xr:uid="{00000000-0004-0000-0200-0000D0030000}"/>
    <hyperlink ref="S911" r:id="rId978" xr:uid="{00000000-0004-0000-0200-0000D1030000}"/>
    <hyperlink ref="F912" r:id="rId979" xr:uid="{00000000-0004-0000-0200-0000D2030000}"/>
    <hyperlink ref="G912" r:id="rId980" xr:uid="{00000000-0004-0000-0200-0000D3030000}"/>
    <hyperlink ref="F915" r:id="rId981" xr:uid="{00000000-0004-0000-0200-0000D4030000}"/>
    <hyperlink ref="S915" r:id="rId982" xr:uid="{00000000-0004-0000-0200-0000D5030000}"/>
    <hyperlink ref="G916" r:id="rId983" xr:uid="{00000000-0004-0000-0200-0000D6030000}"/>
    <hyperlink ref="G917" r:id="rId984" xr:uid="{00000000-0004-0000-0200-0000D7030000}"/>
    <hyperlink ref="G921" r:id="rId985" xr:uid="{00000000-0004-0000-0200-0000D8030000}"/>
    <hyperlink ref="S921" r:id="rId986" xr:uid="{00000000-0004-0000-0200-0000D9030000}"/>
    <hyperlink ref="F922" r:id="rId987" xr:uid="{00000000-0004-0000-0200-0000DA030000}"/>
    <hyperlink ref="G923" r:id="rId988" xr:uid="{00000000-0004-0000-0200-0000DB030000}"/>
    <hyperlink ref="S923" r:id="rId989" xr:uid="{00000000-0004-0000-0200-0000DC030000}"/>
    <hyperlink ref="F926" r:id="rId990" xr:uid="{00000000-0004-0000-0200-0000DD030000}"/>
    <hyperlink ref="G926" r:id="rId991" xr:uid="{00000000-0004-0000-0200-0000DE030000}"/>
    <hyperlink ref="S926" r:id="rId992" xr:uid="{00000000-0004-0000-0200-0000DF030000}"/>
    <hyperlink ref="G928" r:id="rId993" xr:uid="{00000000-0004-0000-0200-0000E0030000}"/>
    <hyperlink ref="F930" r:id="rId994" xr:uid="{00000000-0004-0000-0200-0000E1030000}"/>
    <hyperlink ref="S930" r:id="rId995" xr:uid="{00000000-0004-0000-0200-0000E2030000}"/>
    <hyperlink ref="S931" r:id="rId996" xr:uid="{00000000-0004-0000-0200-0000E3030000}"/>
    <hyperlink ref="S932" r:id="rId997" xr:uid="{00000000-0004-0000-0200-0000E4030000}"/>
    <hyperlink ref="G933" r:id="rId998" xr:uid="{00000000-0004-0000-0200-0000E5030000}"/>
    <hyperlink ref="G934" r:id="rId999" xr:uid="{00000000-0004-0000-0200-0000E6030000}"/>
    <hyperlink ref="S934" r:id="rId1000" xr:uid="{00000000-0004-0000-0200-0000E7030000}"/>
    <hyperlink ref="F935" r:id="rId1001" xr:uid="{00000000-0004-0000-0200-0000E8030000}"/>
    <hyperlink ref="G935" r:id="rId1002" xr:uid="{00000000-0004-0000-0200-0000E9030000}"/>
    <hyperlink ref="G936" r:id="rId1003" xr:uid="{00000000-0004-0000-0200-0000EA030000}"/>
    <hyperlink ref="F937" r:id="rId1004" xr:uid="{00000000-0004-0000-0200-0000EB030000}"/>
    <hyperlink ref="G937" r:id="rId1005" xr:uid="{00000000-0004-0000-0200-0000EC030000}"/>
    <hyperlink ref="F938" r:id="rId1006" xr:uid="{00000000-0004-0000-0200-0000ED030000}"/>
    <hyperlink ref="G938" r:id="rId1007" xr:uid="{00000000-0004-0000-0200-0000EE030000}"/>
    <hyperlink ref="S938" r:id="rId1008" xr:uid="{00000000-0004-0000-0200-0000EF030000}"/>
    <hyperlink ref="F941" r:id="rId1009" xr:uid="{00000000-0004-0000-0200-0000F0030000}"/>
    <hyperlink ref="F942" r:id="rId1010" xr:uid="{00000000-0004-0000-0200-0000F1030000}"/>
    <hyperlink ref="F944" r:id="rId1011" xr:uid="{00000000-0004-0000-0200-0000F2030000}"/>
    <hyperlink ref="G944" r:id="rId1012" xr:uid="{00000000-0004-0000-0200-0000F3030000}"/>
    <hyperlink ref="S944" r:id="rId1013" xr:uid="{00000000-0004-0000-0200-0000F4030000}"/>
    <hyperlink ref="G946" r:id="rId1014" xr:uid="{00000000-0004-0000-0200-0000F5030000}"/>
    <hyperlink ref="S946" r:id="rId1015" xr:uid="{00000000-0004-0000-0200-0000F6030000}"/>
    <hyperlink ref="G947" r:id="rId1016" xr:uid="{00000000-0004-0000-0200-0000F7030000}"/>
    <hyperlink ref="S947" r:id="rId1017" xr:uid="{00000000-0004-0000-0200-0000F8030000}"/>
    <hyperlink ref="F948" r:id="rId1018" xr:uid="{00000000-0004-0000-0200-0000F9030000}"/>
    <hyperlink ref="G948" r:id="rId1019" xr:uid="{00000000-0004-0000-0200-0000FA030000}"/>
    <hyperlink ref="S948" r:id="rId1020" xr:uid="{00000000-0004-0000-0200-0000FB030000}"/>
    <hyperlink ref="F950" r:id="rId1021" xr:uid="{00000000-0004-0000-0200-0000FC030000}"/>
    <hyperlink ref="F951" r:id="rId1022" xr:uid="{00000000-0004-0000-0200-0000FD030000}"/>
    <hyperlink ref="F953" r:id="rId1023" xr:uid="{00000000-0004-0000-0200-0000FE030000}"/>
    <hyperlink ref="F954" r:id="rId1024" xr:uid="{00000000-0004-0000-0200-0000FF030000}"/>
    <hyperlink ref="G954" r:id="rId1025" xr:uid="{00000000-0004-0000-0200-000000040000}"/>
    <hyperlink ref="G956" r:id="rId1026" xr:uid="{00000000-0004-0000-0200-000001040000}"/>
    <hyperlink ref="S956" r:id="rId1027" xr:uid="{00000000-0004-0000-0200-000002040000}"/>
    <hyperlink ref="F957" r:id="rId1028" xr:uid="{00000000-0004-0000-0200-000003040000}"/>
    <hyperlink ref="F959" r:id="rId1029" xr:uid="{00000000-0004-0000-0200-000004040000}"/>
    <hyperlink ref="G959" r:id="rId1030" xr:uid="{00000000-0004-0000-0200-000005040000}"/>
    <hyperlink ref="F960" r:id="rId1031" xr:uid="{00000000-0004-0000-0200-000006040000}"/>
    <hyperlink ref="F961" r:id="rId1032" xr:uid="{00000000-0004-0000-0200-000007040000}"/>
    <hyperlink ref="G961" r:id="rId1033" xr:uid="{00000000-0004-0000-0200-000008040000}"/>
    <hyperlink ref="G962" r:id="rId1034" xr:uid="{00000000-0004-0000-0200-000009040000}"/>
    <hyperlink ref="S962" r:id="rId1035" xr:uid="{00000000-0004-0000-0200-00000A040000}"/>
    <hyperlink ref="S964" r:id="rId1036" xr:uid="{00000000-0004-0000-0200-00000B040000}"/>
    <hyperlink ref="G965" r:id="rId1037" xr:uid="{00000000-0004-0000-0200-00000C040000}"/>
    <hyperlink ref="F967" r:id="rId1038" xr:uid="{00000000-0004-0000-0200-00000D040000}"/>
    <hyperlink ref="G967" r:id="rId1039" xr:uid="{00000000-0004-0000-0200-00000E040000}"/>
    <hyperlink ref="S968" r:id="rId1040" xr:uid="{00000000-0004-0000-0200-00000F040000}"/>
    <hyperlink ref="S969" r:id="rId1041" xr:uid="{00000000-0004-0000-0200-000010040000}"/>
    <hyperlink ref="F971" r:id="rId1042" xr:uid="{00000000-0004-0000-0200-000011040000}"/>
    <hyperlink ref="G974" r:id="rId1043" xr:uid="{00000000-0004-0000-0200-000012040000}"/>
    <hyperlink ref="F975" r:id="rId1044" xr:uid="{00000000-0004-0000-0200-000013040000}"/>
    <hyperlink ref="G977" r:id="rId1045" xr:uid="{00000000-0004-0000-0200-000014040000}"/>
    <hyperlink ref="F978" r:id="rId1046" xr:uid="{00000000-0004-0000-0200-000015040000}"/>
    <hyperlink ref="G980" r:id="rId1047" xr:uid="{00000000-0004-0000-0200-000016040000}"/>
    <hyperlink ref="G981" r:id="rId1048" xr:uid="{00000000-0004-0000-0200-000017040000}"/>
    <hyperlink ref="S981" r:id="rId1049" xr:uid="{00000000-0004-0000-0200-000018040000}"/>
    <hyperlink ref="F982" r:id="rId1050" xr:uid="{00000000-0004-0000-0200-000019040000}"/>
    <hyperlink ref="G982" r:id="rId1051" xr:uid="{00000000-0004-0000-0200-00001A040000}"/>
    <hyperlink ref="F984" r:id="rId1052" xr:uid="{00000000-0004-0000-0200-00001B040000}"/>
    <hyperlink ref="G985" r:id="rId1053" xr:uid="{00000000-0004-0000-0200-00001C040000}"/>
    <hyperlink ref="F986" r:id="rId1054" xr:uid="{00000000-0004-0000-0200-00001D040000}"/>
    <hyperlink ref="F987" r:id="rId1055" xr:uid="{00000000-0004-0000-0200-00001E040000}"/>
    <hyperlink ref="F988" r:id="rId1056" xr:uid="{00000000-0004-0000-0200-00001F040000}"/>
    <hyperlink ref="G988" r:id="rId1057" xr:uid="{00000000-0004-0000-0200-000020040000}"/>
    <hyperlink ref="F989" r:id="rId1058" xr:uid="{00000000-0004-0000-0200-000021040000}"/>
    <hyperlink ref="S989" r:id="rId1059" xr:uid="{00000000-0004-0000-0200-000022040000}"/>
    <hyperlink ref="F990" r:id="rId1060" xr:uid="{00000000-0004-0000-0200-000023040000}"/>
    <hyperlink ref="G990" r:id="rId1061" xr:uid="{00000000-0004-0000-0200-000024040000}"/>
    <hyperlink ref="S990" r:id="rId1062" xr:uid="{00000000-0004-0000-0200-000025040000}"/>
    <hyperlink ref="S991" r:id="rId1063" xr:uid="{00000000-0004-0000-0200-000026040000}"/>
    <hyperlink ref="G992" r:id="rId1064" xr:uid="{00000000-0004-0000-0200-000027040000}"/>
    <hyperlink ref="S992" r:id="rId1065" xr:uid="{00000000-0004-0000-0200-000028040000}"/>
    <hyperlink ref="S993" r:id="rId1066" xr:uid="{00000000-0004-0000-0200-000029040000}"/>
    <hyperlink ref="F997" r:id="rId1067" xr:uid="{00000000-0004-0000-0200-00002A040000}"/>
    <hyperlink ref="G997" r:id="rId1068" xr:uid="{00000000-0004-0000-0200-00002B040000}"/>
    <hyperlink ref="F998" r:id="rId1069" xr:uid="{00000000-0004-0000-0200-00002C040000}"/>
    <hyperlink ref="S998" r:id="rId1070" xr:uid="{00000000-0004-0000-0200-00002D040000}"/>
    <hyperlink ref="F999" r:id="rId1071" xr:uid="{00000000-0004-0000-0200-00002E040000}"/>
    <hyperlink ref="S999" r:id="rId1072" xr:uid="{00000000-0004-0000-0200-00002F040000}"/>
    <hyperlink ref="S1001" r:id="rId1073" xr:uid="{00000000-0004-0000-0200-000030040000}"/>
    <hyperlink ref="F1002" r:id="rId1074" xr:uid="{00000000-0004-0000-0200-000031040000}"/>
    <hyperlink ref="F1003" r:id="rId1075" xr:uid="{00000000-0004-0000-0200-000032040000}"/>
    <hyperlink ref="G1003" r:id="rId1076" xr:uid="{00000000-0004-0000-0200-000033040000}"/>
    <hyperlink ref="F1004" r:id="rId1077" xr:uid="{00000000-0004-0000-0200-000034040000}"/>
    <hyperlink ref="G1004" r:id="rId1078" xr:uid="{00000000-0004-0000-0200-000035040000}"/>
    <hyperlink ref="F1005" r:id="rId1079" xr:uid="{00000000-0004-0000-0200-000036040000}"/>
    <hyperlink ref="F1006" r:id="rId1080" xr:uid="{00000000-0004-0000-0200-000037040000}"/>
    <hyperlink ref="G1006" r:id="rId1081" xr:uid="{00000000-0004-0000-0200-000038040000}"/>
    <hyperlink ref="F1007" r:id="rId1082" xr:uid="{00000000-0004-0000-0200-000039040000}"/>
    <hyperlink ref="F1010" r:id="rId1083" xr:uid="{00000000-0004-0000-0200-00003A040000}"/>
    <hyperlink ref="S1010" r:id="rId1084" xr:uid="{00000000-0004-0000-0200-00003B040000}"/>
    <hyperlink ref="F1012" r:id="rId1085" xr:uid="{00000000-0004-0000-0200-00003C040000}"/>
    <hyperlink ref="S1012" r:id="rId1086" xr:uid="{00000000-0004-0000-0200-00003D040000}"/>
    <hyperlink ref="G1013" r:id="rId1087" xr:uid="{00000000-0004-0000-0200-00003E040000}"/>
    <hyperlink ref="F1015" r:id="rId1088" xr:uid="{00000000-0004-0000-0200-00003F040000}"/>
    <hyperlink ref="F1016" r:id="rId1089" location=".XAjIhcwZqII.twitter" xr:uid="{00000000-0004-0000-0200-000040040000}"/>
    <hyperlink ref="G1017" r:id="rId1090" xr:uid="{00000000-0004-0000-0200-000041040000}"/>
    <hyperlink ref="G1018" r:id="rId1091" xr:uid="{00000000-0004-0000-0200-000042040000}"/>
    <hyperlink ref="G1020" r:id="rId1092" xr:uid="{00000000-0004-0000-0200-000043040000}"/>
    <hyperlink ref="F1022" r:id="rId1093" xr:uid="{00000000-0004-0000-0200-000044040000}"/>
    <hyperlink ref="S1022" r:id="rId1094" xr:uid="{00000000-0004-0000-0200-000045040000}"/>
    <hyperlink ref="F1023" r:id="rId1095" xr:uid="{00000000-0004-0000-0200-000046040000}"/>
    <hyperlink ref="F1024" r:id="rId1096" xr:uid="{00000000-0004-0000-0200-000047040000}"/>
    <hyperlink ref="G1024" r:id="rId1097" xr:uid="{00000000-0004-0000-0200-000048040000}"/>
    <hyperlink ref="G1026" r:id="rId1098" xr:uid="{00000000-0004-0000-0200-000049040000}"/>
    <hyperlink ref="F1027" r:id="rId1099" xr:uid="{00000000-0004-0000-0200-00004A040000}"/>
    <hyperlink ref="F1028" r:id="rId1100" xr:uid="{00000000-0004-0000-0200-00004B040000}"/>
    <hyperlink ref="F1029" r:id="rId1101" xr:uid="{00000000-0004-0000-0200-00004C040000}"/>
    <hyperlink ref="S1029" r:id="rId1102" xr:uid="{00000000-0004-0000-0200-00004D040000}"/>
    <hyperlink ref="F1030" r:id="rId1103" xr:uid="{00000000-0004-0000-0200-00004E040000}"/>
    <hyperlink ref="F1031" r:id="rId1104" xr:uid="{00000000-0004-0000-0200-00004F040000}"/>
    <hyperlink ref="F1032" r:id="rId1105" xr:uid="{00000000-0004-0000-0200-000050040000}"/>
    <hyperlink ref="G1032" r:id="rId1106" xr:uid="{00000000-0004-0000-0200-000051040000}"/>
    <hyperlink ref="S1032" r:id="rId1107" xr:uid="{00000000-0004-0000-0200-000052040000}"/>
    <hyperlink ref="S1034" r:id="rId1108" xr:uid="{00000000-0004-0000-0200-000053040000}"/>
    <hyperlink ref="S1035" r:id="rId1109" xr:uid="{00000000-0004-0000-0200-000054040000}"/>
    <hyperlink ref="G1036" r:id="rId1110" xr:uid="{00000000-0004-0000-0200-000055040000}"/>
    <hyperlink ref="F1037" r:id="rId1111" xr:uid="{00000000-0004-0000-0200-000056040000}"/>
    <hyperlink ref="G1038" r:id="rId1112" xr:uid="{00000000-0004-0000-0200-000057040000}"/>
    <hyperlink ref="S1039" r:id="rId1113" xr:uid="{00000000-0004-0000-0200-000058040000}"/>
    <hyperlink ref="S1040" r:id="rId1114" xr:uid="{00000000-0004-0000-0200-000059040000}"/>
    <hyperlink ref="G1042" r:id="rId1115" xr:uid="{00000000-0004-0000-0200-00005A040000}"/>
    <hyperlink ref="S1042" r:id="rId1116" xr:uid="{00000000-0004-0000-0200-00005B040000}"/>
    <hyperlink ref="S1044" r:id="rId1117" xr:uid="{00000000-0004-0000-0200-00005C040000}"/>
    <hyperlink ref="S1046" r:id="rId1118" xr:uid="{00000000-0004-0000-0200-00005D040000}"/>
    <hyperlink ref="S1047" r:id="rId1119" xr:uid="{00000000-0004-0000-0200-00005E040000}"/>
    <hyperlink ref="S1048" r:id="rId1120" xr:uid="{00000000-0004-0000-0200-00005F040000}"/>
    <hyperlink ref="F1049" r:id="rId1121" xr:uid="{00000000-0004-0000-0200-000060040000}"/>
    <hyperlink ref="S1051" r:id="rId1122" xr:uid="{00000000-0004-0000-0200-000061040000}"/>
    <hyperlink ref="S1053" r:id="rId1123" xr:uid="{00000000-0004-0000-0200-000062040000}"/>
    <hyperlink ref="F1054" r:id="rId1124" xr:uid="{00000000-0004-0000-0200-000063040000}"/>
    <hyperlink ref="G1054" r:id="rId1125" xr:uid="{00000000-0004-0000-0200-000064040000}"/>
    <hyperlink ref="S1056" r:id="rId1126" xr:uid="{00000000-0004-0000-0200-000065040000}"/>
    <hyperlink ref="S1057" r:id="rId1127" xr:uid="{00000000-0004-0000-0200-000066040000}"/>
    <hyperlink ref="F1058" r:id="rId1128" xr:uid="{00000000-0004-0000-0200-000067040000}"/>
    <hyperlink ref="G1058" r:id="rId1129" xr:uid="{00000000-0004-0000-0200-000068040000}"/>
    <hyperlink ref="S1058" r:id="rId1130" xr:uid="{00000000-0004-0000-0200-000069040000}"/>
    <hyperlink ref="G1059" r:id="rId1131" xr:uid="{00000000-0004-0000-0200-00006A040000}"/>
    <hyperlink ref="S1061" r:id="rId1132" xr:uid="{00000000-0004-0000-0200-00006B040000}"/>
    <hyperlink ref="F1063" r:id="rId1133" xr:uid="{00000000-0004-0000-0200-00006C040000}"/>
    <hyperlink ref="S1063" r:id="rId1134" xr:uid="{00000000-0004-0000-0200-00006D040000}"/>
    <hyperlink ref="G1064" r:id="rId1135" xr:uid="{00000000-0004-0000-0200-00006E040000}"/>
    <hyperlink ref="S1064" r:id="rId1136" xr:uid="{00000000-0004-0000-0200-00006F040000}"/>
    <hyperlink ref="S1066" r:id="rId1137" xr:uid="{00000000-0004-0000-0200-000070040000}"/>
    <hyperlink ref="S1068" r:id="rId1138" xr:uid="{00000000-0004-0000-0200-000071040000}"/>
    <hyperlink ref="F1069" r:id="rId1139" xr:uid="{00000000-0004-0000-0200-000072040000}"/>
    <hyperlink ref="S1070" r:id="rId1140" xr:uid="{00000000-0004-0000-0200-000073040000}"/>
    <hyperlink ref="G1071" r:id="rId1141" xr:uid="{00000000-0004-0000-0200-000074040000}"/>
    <hyperlink ref="G1072" r:id="rId1142" xr:uid="{00000000-0004-0000-0200-000075040000}"/>
    <hyperlink ref="F1073" r:id="rId1143" xr:uid="{00000000-0004-0000-0200-000076040000}"/>
    <hyperlink ref="G1073" r:id="rId1144" xr:uid="{00000000-0004-0000-0200-000077040000}"/>
    <hyperlink ref="S1073" r:id="rId1145" xr:uid="{00000000-0004-0000-0200-000078040000}"/>
    <hyperlink ref="F1074" r:id="rId1146" xr:uid="{00000000-0004-0000-0200-000079040000}"/>
    <hyperlink ref="F1076" r:id="rId1147" xr:uid="{00000000-0004-0000-0200-00007A040000}"/>
    <hyperlink ref="F1077" r:id="rId1148" xr:uid="{00000000-0004-0000-0200-00007B040000}"/>
    <hyperlink ref="G1077" r:id="rId1149" xr:uid="{00000000-0004-0000-0200-00007C040000}"/>
    <hyperlink ref="G1078" r:id="rId1150" xr:uid="{00000000-0004-0000-0200-00007D040000}"/>
    <hyperlink ref="S1079" r:id="rId1151" xr:uid="{00000000-0004-0000-0200-00007E040000}"/>
    <hyperlink ref="G1080" r:id="rId1152" xr:uid="{00000000-0004-0000-0200-00007F040000}"/>
    <hyperlink ref="F1081" r:id="rId1153" location="v=onepage&amp;q=M.%20Abascal%20Pardo&amp;f=false" xr:uid="{00000000-0004-0000-0200-000080040000}"/>
    <hyperlink ref="S1086" r:id="rId1154" xr:uid="{00000000-0004-0000-0200-000081040000}"/>
    <hyperlink ref="G1087" r:id="rId1155" xr:uid="{00000000-0004-0000-0200-000082040000}"/>
    <hyperlink ref="S1087" r:id="rId1156" xr:uid="{00000000-0004-0000-0200-000083040000}"/>
    <hyperlink ref="S1089" r:id="rId1157" xr:uid="{00000000-0004-0000-0200-000084040000}"/>
    <hyperlink ref="F1090" r:id="rId1158" xr:uid="{00000000-0004-0000-0200-000085040000}"/>
    <hyperlink ref="S1090" r:id="rId1159" xr:uid="{00000000-0004-0000-0200-000086040000}"/>
    <hyperlink ref="S1091" r:id="rId1160" xr:uid="{00000000-0004-0000-0200-000087040000}"/>
    <hyperlink ref="S1093" r:id="rId1161" xr:uid="{00000000-0004-0000-0200-000088040000}"/>
    <hyperlink ref="F1094" r:id="rId1162" xr:uid="{00000000-0004-0000-0200-000089040000}"/>
    <hyperlink ref="S1095" r:id="rId1163" xr:uid="{00000000-0004-0000-0200-00008A040000}"/>
    <hyperlink ref="F1097" r:id="rId1164" location="ns_campaign=rrss-inducido&amp;ns_mchannel=abc-es&amp;ns_source=tw&amp;ns_linkname=noticia-foto&amp;ns_fee=0" xr:uid="{00000000-0004-0000-0200-00008B040000}"/>
    <hyperlink ref="F1100" r:id="rId1165" xr:uid="{00000000-0004-0000-0200-00008C040000}"/>
    <hyperlink ref="G1100" r:id="rId1166" xr:uid="{00000000-0004-0000-0200-00008D040000}"/>
    <hyperlink ref="S1102" r:id="rId1167" xr:uid="{00000000-0004-0000-0200-00008E040000}"/>
    <hyperlink ref="F1103" r:id="rId1168" xr:uid="{00000000-0004-0000-0200-00008F040000}"/>
    <hyperlink ref="G1103" r:id="rId1169" xr:uid="{00000000-0004-0000-0200-000090040000}"/>
    <hyperlink ref="S1103" r:id="rId1170" xr:uid="{00000000-0004-0000-0200-000091040000}"/>
    <hyperlink ref="F1107" r:id="rId1171" xr:uid="{00000000-0004-0000-0200-000092040000}"/>
    <hyperlink ref="S1107" r:id="rId1172" xr:uid="{00000000-0004-0000-0200-000093040000}"/>
    <hyperlink ref="F1108" r:id="rId1173" xr:uid="{00000000-0004-0000-0200-000094040000}"/>
    <hyperlink ref="G1110" r:id="rId1174" xr:uid="{00000000-0004-0000-0200-000095040000}"/>
    <hyperlink ref="S1110" r:id="rId1175" xr:uid="{00000000-0004-0000-0200-000096040000}"/>
    <hyperlink ref="G1111" r:id="rId1176" xr:uid="{00000000-0004-0000-0200-000097040000}"/>
    <hyperlink ref="F1113" r:id="rId1177" xr:uid="{00000000-0004-0000-0200-000098040000}"/>
    <hyperlink ref="S1113" r:id="rId1178" xr:uid="{00000000-0004-0000-0200-000099040000}"/>
    <hyperlink ref="F1114" r:id="rId1179" xr:uid="{00000000-0004-0000-0200-00009A040000}"/>
    <hyperlink ref="S1114" r:id="rId1180" xr:uid="{00000000-0004-0000-0200-00009B040000}"/>
    <hyperlink ref="S1116" r:id="rId1181" xr:uid="{00000000-0004-0000-0200-00009C040000}"/>
    <hyperlink ref="S1117" r:id="rId1182" xr:uid="{00000000-0004-0000-0200-00009D040000}"/>
    <hyperlink ref="F1119" r:id="rId1183" xr:uid="{00000000-0004-0000-0200-00009E040000}"/>
    <hyperlink ref="S1119" r:id="rId1184" xr:uid="{00000000-0004-0000-0200-00009F040000}"/>
    <hyperlink ref="G1121" r:id="rId1185" xr:uid="{00000000-0004-0000-0200-0000A0040000}"/>
    <hyperlink ref="F1123" r:id="rId1186" xr:uid="{00000000-0004-0000-0200-0000A1040000}"/>
    <hyperlink ref="S1123" r:id="rId1187" xr:uid="{00000000-0004-0000-0200-0000A2040000}"/>
    <hyperlink ref="F1124" r:id="rId1188" xr:uid="{00000000-0004-0000-0200-0000A3040000}"/>
    <hyperlink ref="F1125" r:id="rId1189" xr:uid="{00000000-0004-0000-0200-0000A4040000}"/>
    <hyperlink ref="G1127" r:id="rId1190" xr:uid="{00000000-0004-0000-0200-0000A5040000}"/>
    <hyperlink ref="F1128" r:id="rId1191" xr:uid="{00000000-0004-0000-0200-0000A6040000}"/>
    <hyperlink ref="F1129" r:id="rId1192" xr:uid="{00000000-0004-0000-0200-0000A7040000}"/>
    <hyperlink ref="G1131" r:id="rId1193" xr:uid="{00000000-0004-0000-0200-0000A8040000}"/>
    <hyperlink ref="F1132" r:id="rId1194" xr:uid="{00000000-0004-0000-0200-0000A9040000}"/>
    <hyperlink ref="G1133" r:id="rId1195" xr:uid="{00000000-0004-0000-0200-0000AA040000}"/>
    <hyperlink ref="F1134" r:id="rId1196" location=".XAhKmv-0iVM.twitter" xr:uid="{00000000-0004-0000-0200-0000AB040000}"/>
    <hyperlink ref="G1135" r:id="rId1197" xr:uid="{00000000-0004-0000-0200-0000AC040000}"/>
    <hyperlink ref="S1137" r:id="rId1198" xr:uid="{00000000-0004-0000-0200-0000AD040000}"/>
    <hyperlink ref="F1139" r:id="rId1199" xr:uid="{00000000-0004-0000-0200-0000AE040000}"/>
    <hyperlink ref="G1139" r:id="rId1200" xr:uid="{00000000-0004-0000-0200-0000AF040000}"/>
    <hyperlink ref="G1141" r:id="rId1201" xr:uid="{00000000-0004-0000-0200-0000B0040000}"/>
    <hyperlink ref="F1142" r:id="rId1202" xr:uid="{00000000-0004-0000-0200-0000B1040000}"/>
    <hyperlink ref="F1143" r:id="rId1203" location="Echobox=1544014810" xr:uid="{00000000-0004-0000-0200-0000B2040000}"/>
    <hyperlink ref="S1143" r:id="rId1204" xr:uid="{00000000-0004-0000-0200-0000B3040000}"/>
    <hyperlink ref="S1144" r:id="rId1205" xr:uid="{00000000-0004-0000-0200-0000B4040000}"/>
    <hyperlink ref="F1145" r:id="rId1206" xr:uid="{00000000-0004-0000-0200-0000B5040000}"/>
    <hyperlink ref="G1145" r:id="rId1207" xr:uid="{00000000-0004-0000-0200-0000B6040000}"/>
    <hyperlink ref="S1145" r:id="rId1208" xr:uid="{00000000-0004-0000-0200-0000B7040000}"/>
    <hyperlink ref="F1147" r:id="rId1209" xr:uid="{00000000-0004-0000-0200-0000B8040000}"/>
    <hyperlink ref="G1148" r:id="rId1210" xr:uid="{00000000-0004-0000-0200-0000B9040000}"/>
    <hyperlink ref="S1154" r:id="rId1211" xr:uid="{00000000-0004-0000-0200-0000BA040000}"/>
    <hyperlink ref="G1156" r:id="rId1212" xr:uid="{00000000-0004-0000-0200-0000BB040000}"/>
    <hyperlink ref="S1156" r:id="rId1213" xr:uid="{00000000-0004-0000-0200-0000BC040000}"/>
    <hyperlink ref="G1159" r:id="rId1214" xr:uid="{00000000-0004-0000-0200-0000BD040000}"/>
    <hyperlink ref="S1159" r:id="rId1215" xr:uid="{00000000-0004-0000-0200-0000BE040000}"/>
    <hyperlink ref="F1160" r:id="rId1216" xr:uid="{00000000-0004-0000-0200-0000BF040000}"/>
    <hyperlink ref="G1160" r:id="rId1217" xr:uid="{00000000-0004-0000-0200-0000C0040000}"/>
    <hyperlink ref="S1160" r:id="rId1218" xr:uid="{00000000-0004-0000-0200-0000C1040000}"/>
    <hyperlink ref="F1161" r:id="rId1219" xr:uid="{00000000-0004-0000-0200-0000C2040000}"/>
    <hyperlink ref="G1162" r:id="rId1220" xr:uid="{00000000-0004-0000-0200-0000C3040000}"/>
    <hyperlink ref="S1162" r:id="rId1221" xr:uid="{00000000-0004-0000-0200-0000C4040000}"/>
    <hyperlink ref="G1163" r:id="rId1222" xr:uid="{00000000-0004-0000-0200-0000C5040000}"/>
    <hyperlink ref="G1164" r:id="rId1223" xr:uid="{00000000-0004-0000-0200-0000C6040000}"/>
    <hyperlink ref="S1164" r:id="rId1224" xr:uid="{00000000-0004-0000-0200-0000C7040000}"/>
    <hyperlink ref="F1165" r:id="rId1225" xr:uid="{00000000-0004-0000-0200-0000C8040000}"/>
    <hyperlink ref="G1165" r:id="rId1226" xr:uid="{00000000-0004-0000-0200-0000C9040000}"/>
    <hyperlink ref="S1165" r:id="rId1227" xr:uid="{00000000-0004-0000-0200-0000CA040000}"/>
    <hyperlink ref="G1166" r:id="rId1228" xr:uid="{00000000-0004-0000-0200-0000CB040000}"/>
    <hyperlink ref="S1166" r:id="rId1229" xr:uid="{00000000-0004-0000-0200-0000CC040000}"/>
    <hyperlink ref="G1170" r:id="rId1230" xr:uid="{00000000-0004-0000-0200-0000CD040000}"/>
    <hyperlink ref="G1172" r:id="rId1231" xr:uid="{00000000-0004-0000-0200-0000CE040000}"/>
    <hyperlink ref="F1174" r:id="rId1232" xr:uid="{00000000-0004-0000-0200-0000CF040000}"/>
    <hyperlink ref="S1175" r:id="rId1233" xr:uid="{00000000-0004-0000-0200-0000D0040000}"/>
    <hyperlink ref="S1176" r:id="rId1234" xr:uid="{00000000-0004-0000-0200-0000D1040000}"/>
    <hyperlink ref="S1177" r:id="rId1235" xr:uid="{00000000-0004-0000-0200-0000D2040000}"/>
    <hyperlink ref="G1178" r:id="rId1236" xr:uid="{00000000-0004-0000-0200-0000D3040000}"/>
    <hyperlink ref="S1178" r:id="rId1237" xr:uid="{00000000-0004-0000-0200-0000D4040000}"/>
    <hyperlink ref="S1179" r:id="rId1238" xr:uid="{00000000-0004-0000-0200-0000D5040000}"/>
    <hyperlink ref="F1180" r:id="rId1239" xr:uid="{00000000-0004-0000-0200-0000D6040000}"/>
    <hyperlink ref="G1180" r:id="rId1240" xr:uid="{00000000-0004-0000-0200-0000D7040000}"/>
    <hyperlink ref="S1180" r:id="rId1241" xr:uid="{00000000-0004-0000-0200-0000D8040000}"/>
    <hyperlink ref="G1182" r:id="rId1242" xr:uid="{00000000-0004-0000-0200-0000D9040000}"/>
    <hyperlink ref="G1183" r:id="rId1243" xr:uid="{00000000-0004-0000-0200-0000DA040000}"/>
    <hyperlink ref="F1185" r:id="rId1244" xr:uid="{00000000-0004-0000-0200-0000DB040000}"/>
    <hyperlink ref="G1185" r:id="rId1245" xr:uid="{00000000-0004-0000-0200-0000DC040000}"/>
    <hyperlink ref="S1185" r:id="rId1246" xr:uid="{00000000-0004-0000-0200-0000DD040000}"/>
    <hyperlink ref="F1186" r:id="rId1247" xr:uid="{00000000-0004-0000-0200-0000DE040000}"/>
    <hyperlink ref="G1188" r:id="rId1248" xr:uid="{00000000-0004-0000-0200-0000DF040000}"/>
    <hyperlink ref="S1188" r:id="rId1249" xr:uid="{00000000-0004-0000-0200-0000E0040000}"/>
    <hyperlink ref="F1189" r:id="rId1250" xr:uid="{00000000-0004-0000-0200-0000E1040000}"/>
    <hyperlink ref="F1190" r:id="rId1251" location="ns_campaign=amp-rrss-inducido&amp;ns_mchannel=abc-es&amp;ns_source=tw&amp;ns_linkname=noticia.video&amp;ns_fee=0" xr:uid="{00000000-0004-0000-0200-0000E2040000}"/>
    <hyperlink ref="S1190" r:id="rId1252" xr:uid="{00000000-0004-0000-0200-0000E3040000}"/>
    <hyperlink ref="F1191" r:id="rId1253" xr:uid="{00000000-0004-0000-0200-0000E4040000}"/>
    <hyperlink ref="G1192" r:id="rId1254" xr:uid="{00000000-0004-0000-0200-0000E5040000}"/>
    <hyperlink ref="F1193" r:id="rId1255" xr:uid="{00000000-0004-0000-0200-0000E6040000}"/>
    <hyperlink ref="S1193" r:id="rId1256" xr:uid="{00000000-0004-0000-0200-0000E7040000}"/>
    <hyperlink ref="G1194" r:id="rId1257" xr:uid="{00000000-0004-0000-0200-0000E8040000}"/>
    <hyperlink ref="F1196" r:id="rId1258" xr:uid="{00000000-0004-0000-0200-0000E9040000}"/>
    <hyperlink ref="G1196" r:id="rId1259" xr:uid="{00000000-0004-0000-0200-0000EA040000}"/>
    <hyperlink ref="F1198" r:id="rId1260" xr:uid="{00000000-0004-0000-0200-0000EB040000}"/>
    <hyperlink ref="G1198" r:id="rId1261" xr:uid="{00000000-0004-0000-0200-0000EC040000}"/>
    <hyperlink ref="S1198" r:id="rId1262" xr:uid="{00000000-0004-0000-0200-0000ED040000}"/>
    <hyperlink ref="F1199" r:id="rId1263" xr:uid="{00000000-0004-0000-0200-0000EE040000}"/>
    <hyperlink ref="S1199" r:id="rId1264" xr:uid="{00000000-0004-0000-0200-0000EF040000}"/>
    <hyperlink ref="F1201" r:id="rId1265" xr:uid="{00000000-0004-0000-0200-0000F0040000}"/>
    <hyperlink ref="G1201" r:id="rId1266" xr:uid="{00000000-0004-0000-0200-0000F1040000}"/>
    <hyperlink ref="G1202" r:id="rId1267" xr:uid="{00000000-0004-0000-0200-0000F2040000}"/>
    <hyperlink ref="F1208" r:id="rId1268" xr:uid="{00000000-0004-0000-0200-0000F3040000}"/>
    <hyperlink ref="F1210" r:id="rId1269" xr:uid="{00000000-0004-0000-0200-0000F4040000}"/>
    <hyperlink ref="G1210" r:id="rId1270" xr:uid="{00000000-0004-0000-0200-0000F5040000}"/>
    <hyperlink ref="G1212" r:id="rId1271" xr:uid="{00000000-0004-0000-0200-0000F6040000}"/>
    <hyperlink ref="F1213" r:id="rId1272" xr:uid="{00000000-0004-0000-0200-0000F7040000}"/>
    <hyperlink ref="S1213" r:id="rId1273" xr:uid="{00000000-0004-0000-0200-0000F8040000}"/>
    <hyperlink ref="F1215" r:id="rId1274" xr:uid="{00000000-0004-0000-0200-0000F9040000}"/>
    <hyperlink ref="G1217" r:id="rId1275" xr:uid="{00000000-0004-0000-0200-0000FA040000}"/>
    <hyperlink ref="G1219" r:id="rId1276" xr:uid="{00000000-0004-0000-0200-0000FB040000}"/>
    <hyperlink ref="S1219" r:id="rId1277" xr:uid="{00000000-0004-0000-0200-0000FC040000}"/>
    <hyperlink ref="F1221" r:id="rId1278" xr:uid="{00000000-0004-0000-0200-0000FD040000}"/>
    <hyperlink ref="G1222" r:id="rId1279" xr:uid="{00000000-0004-0000-0200-0000FE040000}"/>
    <hyperlink ref="F1224" r:id="rId1280" xr:uid="{00000000-0004-0000-0200-0000FF040000}"/>
    <hyperlink ref="S1224" r:id="rId1281" xr:uid="{00000000-0004-0000-0200-000000050000}"/>
    <hyperlink ref="S1225" r:id="rId1282" xr:uid="{00000000-0004-0000-0200-000001050000}"/>
    <hyperlink ref="S1227" r:id="rId1283" xr:uid="{00000000-0004-0000-0200-000002050000}"/>
    <hyperlink ref="G1228" r:id="rId1284" xr:uid="{00000000-0004-0000-0200-000003050000}"/>
    <hyperlink ref="S1228" r:id="rId1285" xr:uid="{00000000-0004-0000-0200-000004050000}"/>
    <hyperlink ref="G1229" r:id="rId1286" xr:uid="{00000000-0004-0000-0200-000005050000}"/>
    <hyperlink ref="S1229" r:id="rId1287" xr:uid="{00000000-0004-0000-0200-000006050000}"/>
    <hyperlink ref="F1231" r:id="rId1288" xr:uid="{00000000-0004-0000-0200-000007050000}"/>
    <hyperlink ref="S1232" r:id="rId1289" xr:uid="{00000000-0004-0000-0200-000008050000}"/>
    <hyperlink ref="F1233" r:id="rId1290" xr:uid="{00000000-0004-0000-0200-000009050000}"/>
    <hyperlink ref="S1233" r:id="rId1291" xr:uid="{00000000-0004-0000-0200-00000A050000}"/>
    <hyperlink ref="S1238" r:id="rId1292" xr:uid="{00000000-0004-0000-0200-00000B050000}"/>
    <hyperlink ref="R1240" r:id="rId1293" xr:uid="{00000000-0004-0000-0200-00000C050000}"/>
    <hyperlink ref="G1241" r:id="rId1294" xr:uid="{00000000-0004-0000-0200-00000D050000}"/>
    <hyperlink ref="F1242" r:id="rId1295" xr:uid="{00000000-0004-0000-0200-00000E050000}"/>
    <hyperlink ref="G1244" r:id="rId1296" xr:uid="{00000000-0004-0000-0200-00000F050000}"/>
    <hyperlink ref="G1245" r:id="rId1297" xr:uid="{00000000-0004-0000-0200-000010050000}"/>
    <hyperlink ref="F1246" r:id="rId1298" xr:uid="{00000000-0004-0000-0200-000011050000}"/>
    <hyperlink ref="G1248" r:id="rId1299" xr:uid="{00000000-0004-0000-0200-000012050000}"/>
    <hyperlink ref="S1248" r:id="rId1300" xr:uid="{00000000-0004-0000-0200-000013050000}"/>
    <hyperlink ref="G1249" r:id="rId1301" xr:uid="{00000000-0004-0000-0200-000014050000}"/>
    <hyperlink ref="G1250" r:id="rId1302" xr:uid="{00000000-0004-0000-0200-000015050000}"/>
    <hyperlink ref="S1250" r:id="rId1303" xr:uid="{00000000-0004-0000-0200-000016050000}"/>
    <hyperlink ref="F1252" r:id="rId1304" xr:uid="{00000000-0004-0000-0200-000017050000}"/>
    <hyperlink ref="S1252" r:id="rId1305" xr:uid="{00000000-0004-0000-0200-000018050000}"/>
    <hyperlink ref="C1253" r:id="rId1306" xr:uid="{00000000-0004-0000-0200-000019050000}"/>
    <hyperlink ref="F1253" r:id="rId1307" xr:uid="{00000000-0004-0000-0200-00001A050000}"/>
    <hyperlink ref="G1253" r:id="rId1308" xr:uid="{00000000-0004-0000-0200-00001B050000}"/>
    <hyperlink ref="S1253" r:id="rId1309" xr:uid="{00000000-0004-0000-0200-00001C050000}"/>
    <hyperlink ref="G1254" r:id="rId1310" xr:uid="{00000000-0004-0000-0200-00001D050000}"/>
    <hyperlink ref="G1255" r:id="rId1311" xr:uid="{00000000-0004-0000-0200-00001E050000}"/>
    <hyperlink ref="F1256" r:id="rId1312" xr:uid="{00000000-0004-0000-0200-00001F050000}"/>
    <hyperlink ref="S1256" r:id="rId1313" xr:uid="{00000000-0004-0000-0200-000020050000}"/>
    <hyperlink ref="F1257" r:id="rId1314" xr:uid="{00000000-0004-0000-0200-000021050000}"/>
    <hyperlink ref="G1257" r:id="rId1315" xr:uid="{00000000-0004-0000-0200-000022050000}"/>
    <hyperlink ref="S1258" r:id="rId1316" xr:uid="{00000000-0004-0000-0200-000023050000}"/>
    <hyperlink ref="F1259" r:id="rId1317" xr:uid="{00000000-0004-0000-0200-000024050000}"/>
    <hyperlink ref="S1260" r:id="rId1318" xr:uid="{00000000-0004-0000-0200-000025050000}"/>
    <hyperlink ref="S1261" r:id="rId1319" xr:uid="{00000000-0004-0000-0200-000026050000}"/>
    <hyperlink ref="F1263" r:id="rId1320" xr:uid="{00000000-0004-0000-0200-000027050000}"/>
    <hyperlink ref="F1264" r:id="rId1321" xr:uid="{00000000-0004-0000-0200-000028050000}"/>
    <hyperlink ref="F1266" r:id="rId1322" xr:uid="{00000000-0004-0000-0200-000029050000}"/>
    <hyperlink ref="F1268" r:id="rId1323" xr:uid="{00000000-0004-0000-0200-00002A050000}"/>
    <hyperlink ref="G1269" r:id="rId1324" xr:uid="{00000000-0004-0000-0200-00002B050000}"/>
    <hyperlink ref="S1269" r:id="rId1325" xr:uid="{00000000-0004-0000-0200-00002C050000}"/>
    <hyperlink ref="G1270" r:id="rId1326" xr:uid="{00000000-0004-0000-0200-00002D050000}"/>
    <hyperlink ref="S1270" r:id="rId1327" xr:uid="{00000000-0004-0000-0200-00002E050000}"/>
    <hyperlink ref="G1271" r:id="rId1328" xr:uid="{00000000-0004-0000-0200-00002F050000}"/>
    <hyperlink ref="S1271" r:id="rId1329" xr:uid="{00000000-0004-0000-0200-000030050000}"/>
    <hyperlink ref="G1272" r:id="rId1330" xr:uid="{00000000-0004-0000-0200-000031050000}"/>
    <hyperlink ref="S1274" r:id="rId1331" xr:uid="{00000000-0004-0000-0200-000032050000}"/>
    <hyperlink ref="F1276" r:id="rId1332" xr:uid="{00000000-0004-0000-0200-000033050000}"/>
    <hyperlink ref="S1276" r:id="rId1333" xr:uid="{00000000-0004-0000-0200-000034050000}"/>
    <hyperlink ref="F1277" r:id="rId1334" xr:uid="{00000000-0004-0000-0200-000035050000}"/>
    <hyperlink ref="F1279" r:id="rId1335" xr:uid="{00000000-0004-0000-0200-000036050000}"/>
    <hyperlink ref="G1282" r:id="rId1336" xr:uid="{00000000-0004-0000-0200-000037050000}"/>
    <hyperlink ref="F1284" r:id="rId1337" xr:uid="{00000000-0004-0000-0200-000038050000}"/>
    <hyperlink ref="S1284" r:id="rId1338" xr:uid="{00000000-0004-0000-0200-000039050000}"/>
    <hyperlink ref="S1285" r:id="rId1339" xr:uid="{00000000-0004-0000-0200-00003A050000}"/>
    <hyperlink ref="G1286" r:id="rId1340" xr:uid="{00000000-0004-0000-0200-00003B050000}"/>
    <hyperlink ref="S1286" r:id="rId1341" xr:uid="{00000000-0004-0000-0200-00003C050000}"/>
    <hyperlink ref="F1287" r:id="rId1342" xr:uid="{00000000-0004-0000-0200-00003D050000}"/>
    <hyperlink ref="G1287" r:id="rId1343" xr:uid="{00000000-0004-0000-0200-00003E050000}"/>
    <hyperlink ref="S1287" r:id="rId1344" xr:uid="{00000000-0004-0000-0200-00003F050000}"/>
    <hyperlink ref="S1290" r:id="rId1345" xr:uid="{00000000-0004-0000-0200-000040050000}"/>
    <hyperlink ref="G1292" r:id="rId1346" xr:uid="{00000000-0004-0000-0200-000041050000}"/>
    <hyperlink ref="G1295" r:id="rId1347" xr:uid="{00000000-0004-0000-0200-000042050000}"/>
    <hyperlink ref="G1296" r:id="rId1348" xr:uid="{00000000-0004-0000-0200-000043050000}"/>
    <hyperlink ref="S1296" r:id="rId1349" xr:uid="{00000000-0004-0000-0200-000044050000}"/>
    <hyperlink ref="F1298" r:id="rId1350" xr:uid="{00000000-0004-0000-0200-000045050000}"/>
    <hyperlink ref="F1299" r:id="rId1351" xr:uid="{00000000-0004-0000-0200-000046050000}"/>
    <hyperlink ref="G1299" r:id="rId1352" xr:uid="{00000000-0004-0000-0200-000047050000}"/>
    <hyperlink ref="S1300" r:id="rId1353" xr:uid="{00000000-0004-0000-0200-000048050000}"/>
    <hyperlink ref="G1303" r:id="rId1354" xr:uid="{00000000-0004-0000-0200-000049050000}"/>
    <hyperlink ref="F1304" r:id="rId1355" xr:uid="{00000000-0004-0000-0200-00004A050000}"/>
    <hyperlink ref="S1304" r:id="rId1356" xr:uid="{00000000-0004-0000-0200-00004B050000}"/>
    <hyperlink ref="G1305" r:id="rId1357" xr:uid="{00000000-0004-0000-0200-00004C050000}"/>
    <hyperlink ref="G1306" r:id="rId1358" xr:uid="{00000000-0004-0000-0200-00004D050000}"/>
    <hyperlink ref="S1307" r:id="rId1359" xr:uid="{00000000-0004-0000-0200-00004E050000}"/>
    <hyperlink ref="G1308" r:id="rId1360" xr:uid="{00000000-0004-0000-0200-00004F050000}"/>
    <hyperlink ref="G1310" r:id="rId1361" xr:uid="{00000000-0004-0000-0200-000050050000}"/>
    <hyperlink ref="F1311" r:id="rId1362" xr:uid="{00000000-0004-0000-0200-000051050000}"/>
    <hyperlink ref="F1312" r:id="rId1363" xr:uid="{00000000-0004-0000-0200-000052050000}"/>
    <hyperlink ref="S1313" r:id="rId1364" xr:uid="{00000000-0004-0000-0200-000053050000}"/>
    <hyperlink ref="G1314" r:id="rId1365" xr:uid="{00000000-0004-0000-0200-000054050000}"/>
    <hyperlink ref="S1315" r:id="rId1366" xr:uid="{00000000-0004-0000-0200-000055050000}"/>
    <hyperlink ref="S1316" r:id="rId1367" xr:uid="{00000000-0004-0000-0200-000056050000}"/>
    <hyperlink ref="F1317" r:id="rId1368" xr:uid="{00000000-0004-0000-0200-000057050000}"/>
    <hyperlink ref="G1318" r:id="rId1369" xr:uid="{00000000-0004-0000-0200-000058050000}"/>
    <hyperlink ref="F1319" r:id="rId1370" xr:uid="{00000000-0004-0000-0200-000059050000}"/>
    <hyperlink ref="F1321" r:id="rId1371" xr:uid="{00000000-0004-0000-0200-00005A050000}"/>
    <hyperlink ref="G1321" r:id="rId1372" xr:uid="{00000000-0004-0000-0200-00005B050000}"/>
    <hyperlink ref="S1323" r:id="rId1373" xr:uid="{00000000-0004-0000-0200-00005C050000}"/>
    <hyperlink ref="F1324" r:id="rId1374" xr:uid="{00000000-0004-0000-0200-00005D050000}"/>
    <hyperlink ref="G1324" r:id="rId1375" xr:uid="{00000000-0004-0000-0200-00005E050000}"/>
    <hyperlink ref="F1326" r:id="rId1376" xr:uid="{00000000-0004-0000-0200-00005F050000}"/>
    <hyperlink ref="S1326" r:id="rId1377" xr:uid="{00000000-0004-0000-0200-000060050000}"/>
    <hyperlink ref="F1328" r:id="rId1378" xr:uid="{00000000-0004-0000-0200-000061050000}"/>
    <hyperlink ref="S1328" r:id="rId1379" xr:uid="{00000000-0004-0000-0200-000062050000}"/>
    <hyperlink ref="F1330" r:id="rId1380" xr:uid="{00000000-0004-0000-0200-000063050000}"/>
    <hyperlink ref="G1330" r:id="rId1381" xr:uid="{00000000-0004-0000-0200-000064050000}"/>
    <hyperlink ref="G1331" r:id="rId1382" xr:uid="{00000000-0004-0000-0200-000065050000}"/>
    <hyperlink ref="S1331" r:id="rId1383" xr:uid="{00000000-0004-0000-0200-000066050000}"/>
    <hyperlink ref="G1332" r:id="rId1384" xr:uid="{00000000-0004-0000-0200-000067050000}"/>
    <hyperlink ref="F1334" r:id="rId1385" xr:uid="{00000000-0004-0000-0200-000068050000}"/>
    <hyperlink ref="G1334" r:id="rId1386" xr:uid="{00000000-0004-0000-0200-000069050000}"/>
    <hyperlink ref="S1334" r:id="rId1387" xr:uid="{00000000-0004-0000-0200-00006A050000}"/>
    <hyperlink ref="G1335" r:id="rId1388" xr:uid="{00000000-0004-0000-0200-00006B050000}"/>
    <hyperlink ref="F1336" r:id="rId1389" location=".XAgJ-VPoaq0.twitter" xr:uid="{00000000-0004-0000-0200-00006C050000}"/>
    <hyperlink ref="G1337" r:id="rId1390" xr:uid="{00000000-0004-0000-0200-00006D050000}"/>
    <hyperlink ref="S1337" r:id="rId1391" xr:uid="{00000000-0004-0000-0200-00006E050000}"/>
    <hyperlink ref="S1338" r:id="rId1392" xr:uid="{00000000-0004-0000-0200-00006F050000}"/>
    <hyperlink ref="S1339" r:id="rId1393" xr:uid="{00000000-0004-0000-0200-000070050000}"/>
    <hyperlink ref="F1340" r:id="rId1394" xr:uid="{00000000-0004-0000-0200-000071050000}"/>
    <hyperlink ref="G1340" r:id="rId1395" xr:uid="{00000000-0004-0000-0200-000072050000}"/>
    <hyperlink ref="F1341" r:id="rId1396" xr:uid="{00000000-0004-0000-0200-000073050000}"/>
    <hyperlink ref="G1342" r:id="rId1397" xr:uid="{00000000-0004-0000-0200-000074050000}"/>
    <hyperlink ref="G1343" r:id="rId1398" xr:uid="{00000000-0004-0000-0200-000075050000}"/>
    <hyperlink ref="F1344" r:id="rId1399" xr:uid="{00000000-0004-0000-0200-000076050000}"/>
    <hyperlink ref="F1346" r:id="rId1400" xr:uid="{00000000-0004-0000-0200-000077050000}"/>
    <hyperlink ref="S1346" r:id="rId1401" xr:uid="{00000000-0004-0000-0200-000078050000}"/>
    <hyperlink ref="G1347" r:id="rId1402" xr:uid="{00000000-0004-0000-0200-000079050000}"/>
    <hyperlink ref="S1347" r:id="rId1403" xr:uid="{00000000-0004-0000-0200-00007A050000}"/>
    <hyperlink ref="G1348" r:id="rId1404" xr:uid="{00000000-0004-0000-0200-00007B050000}"/>
    <hyperlink ref="G1349" r:id="rId1405" xr:uid="{00000000-0004-0000-0200-00007C050000}"/>
    <hyperlink ref="F1351" r:id="rId1406" xr:uid="{00000000-0004-0000-0200-00007D050000}"/>
    <hyperlink ref="F1352" r:id="rId1407" xr:uid="{00000000-0004-0000-0200-00007E050000}"/>
    <hyperlink ref="S1352" r:id="rId1408" xr:uid="{00000000-0004-0000-0200-00007F050000}"/>
    <hyperlink ref="G1355" r:id="rId1409" xr:uid="{00000000-0004-0000-0200-000080050000}"/>
    <hyperlink ref="F1356" r:id="rId1410" xr:uid="{00000000-0004-0000-0200-000081050000}"/>
    <hyperlink ref="S1356" r:id="rId1411" xr:uid="{00000000-0004-0000-0200-000082050000}"/>
    <hyperlink ref="G1357" r:id="rId1412" xr:uid="{00000000-0004-0000-0200-000083050000}"/>
    <hyperlink ref="S1357" r:id="rId1413" xr:uid="{00000000-0004-0000-0200-000084050000}"/>
    <hyperlink ref="G1358" r:id="rId1414" xr:uid="{00000000-0004-0000-0200-000085050000}"/>
    <hyperlink ref="S1359" r:id="rId1415" xr:uid="{00000000-0004-0000-0200-000086050000}"/>
    <hyperlink ref="F1360" r:id="rId1416" xr:uid="{00000000-0004-0000-0200-000087050000}"/>
    <hyperlink ref="S1360" r:id="rId1417" xr:uid="{00000000-0004-0000-0200-000088050000}"/>
    <hyperlink ref="S1361" r:id="rId1418" xr:uid="{00000000-0004-0000-0200-000089050000}"/>
    <hyperlink ref="F1362" r:id="rId1419" xr:uid="{00000000-0004-0000-0200-00008A050000}"/>
    <hyperlink ref="G1362" r:id="rId1420" xr:uid="{00000000-0004-0000-0200-00008B050000}"/>
    <hyperlink ref="F1363" r:id="rId1421" xr:uid="{00000000-0004-0000-0200-00008C050000}"/>
    <hyperlink ref="S1363" r:id="rId1422" xr:uid="{00000000-0004-0000-0200-00008D050000}"/>
    <hyperlink ref="F1365" r:id="rId1423" xr:uid="{00000000-0004-0000-0200-00008E050000}"/>
    <hyperlink ref="F1366" r:id="rId1424" xr:uid="{00000000-0004-0000-0200-00008F050000}"/>
    <hyperlink ref="F1367" r:id="rId1425" xr:uid="{00000000-0004-0000-0200-000090050000}"/>
    <hyperlink ref="G1368" r:id="rId1426" xr:uid="{00000000-0004-0000-0200-000091050000}"/>
    <hyperlink ref="F1371" r:id="rId1427" xr:uid="{00000000-0004-0000-0200-000092050000}"/>
    <hyperlink ref="G1372" r:id="rId1428" xr:uid="{00000000-0004-0000-0200-000093050000}"/>
    <hyperlink ref="F1374" r:id="rId1429" xr:uid="{00000000-0004-0000-0200-000094050000}"/>
    <hyperlink ref="G1374" r:id="rId1430" xr:uid="{00000000-0004-0000-0200-000095050000}"/>
    <hyperlink ref="F1375" r:id="rId1431" xr:uid="{00000000-0004-0000-0200-000096050000}"/>
    <hyperlink ref="G1376" r:id="rId1432" xr:uid="{00000000-0004-0000-0200-000097050000}"/>
    <hyperlink ref="F1377" r:id="rId1433" xr:uid="{00000000-0004-0000-0200-000098050000}"/>
    <hyperlink ref="F1379" r:id="rId1434" xr:uid="{00000000-0004-0000-0200-000099050000}"/>
    <hyperlink ref="S1379" r:id="rId1435" xr:uid="{00000000-0004-0000-0200-00009A050000}"/>
    <hyperlink ref="F1380" r:id="rId1436" xr:uid="{00000000-0004-0000-0200-00009B050000}"/>
    <hyperlink ref="G1380" r:id="rId1437" xr:uid="{00000000-0004-0000-0200-00009C050000}"/>
    <hyperlink ref="F1381" r:id="rId1438" xr:uid="{00000000-0004-0000-0200-00009D050000}"/>
    <hyperlink ref="F1382" r:id="rId1439" xr:uid="{00000000-0004-0000-0200-00009E050000}"/>
    <hyperlink ref="S1382" r:id="rId1440" xr:uid="{00000000-0004-0000-0200-00009F050000}"/>
    <hyperlink ref="F1383" r:id="rId1441" location=".XAf7yNdlWow.twitter" xr:uid="{00000000-0004-0000-0200-0000A0050000}"/>
    <hyperlink ref="G1385" r:id="rId1442" xr:uid="{00000000-0004-0000-0200-0000A1050000}"/>
    <hyperlink ref="S1385" r:id="rId1443" xr:uid="{00000000-0004-0000-0200-0000A2050000}"/>
    <hyperlink ref="F1386" r:id="rId1444" xr:uid="{00000000-0004-0000-0200-0000A3050000}"/>
    <hyperlink ref="S1386" r:id="rId1445" xr:uid="{00000000-0004-0000-0200-0000A4050000}"/>
    <hyperlink ref="G1387" r:id="rId1446" xr:uid="{00000000-0004-0000-0200-0000A5050000}"/>
    <hyperlink ref="F1390" r:id="rId1447" xr:uid="{00000000-0004-0000-0200-0000A6050000}"/>
    <hyperlink ref="G1390" r:id="rId1448" xr:uid="{00000000-0004-0000-0200-0000A7050000}"/>
    <hyperlink ref="S1390" r:id="rId1449" xr:uid="{00000000-0004-0000-0200-0000A8050000}"/>
    <hyperlink ref="F1391" r:id="rId1450" xr:uid="{00000000-0004-0000-0200-0000A9050000}"/>
    <hyperlink ref="G1393" r:id="rId1451" xr:uid="{00000000-0004-0000-0200-0000AA050000}"/>
    <hyperlink ref="S1394" r:id="rId1452" xr:uid="{00000000-0004-0000-0200-0000AB050000}"/>
    <hyperlink ref="G1397" r:id="rId1453" xr:uid="{00000000-0004-0000-0200-0000AC050000}"/>
    <hyperlink ref="F1398" r:id="rId1454" xr:uid="{00000000-0004-0000-0200-0000AD050000}"/>
    <hyperlink ref="S1398" r:id="rId1455" xr:uid="{00000000-0004-0000-0200-0000AE050000}"/>
    <hyperlink ref="S1399" r:id="rId1456" xr:uid="{00000000-0004-0000-0200-0000AF050000}"/>
    <hyperlink ref="G1400" r:id="rId1457" xr:uid="{00000000-0004-0000-0200-0000B0050000}"/>
    <hyperlink ref="S1402" r:id="rId1458" xr:uid="{00000000-0004-0000-0200-0000B1050000}"/>
    <hyperlink ref="S1403" r:id="rId1459" xr:uid="{00000000-0004-0000-0200-0000B2050000}"/>
    <hyperlink ref="G1404" r:id="rId1460" xr:uid="{00000000-0004-0000-0200-0000B3050000}"/>
    <hyperlink ref="F1405" r:id="rId1461" xr:uid="{00000000-0004-0000-0200-0000B4050000}"/>
    <hyperlink ref="S1405" r:id="rId1462" xr:uid="{00000000-0004-0000-0200-0000B5050000}"/>
    <hyperlink ref="G1407" r:id="rId1463" xr:uid="{00000000-0004-0000-0200-0000B6050000}"/>
    <hyperlink ref="F1408" r:id="rId1464" xr:uid="{00000000-0004-0000-0200-0000B7050000}"/>
    <hyperlink ref="G1409" r:id="rId1465" xr:uid="{00000000-0004-0000-0200-0000B8050000}"/>
    <hyperlink ref="S1409" r:id="rId1466" xr:uid="{00000000-0004-0000-0200-0000B9050000}"/>
    <hyperlink ref="F1410" r:id="rId1467" xr:uid="{00000000-0004-0000-0200-0000BA050000}"/>
    <hyperlink ref="G1410" r:id="rId1468" xr:uid="{00000000-0004-0000-0200-0000BB050000}"/>
    <hyperlink ref="S1410" r:id="rId1469" xr:uid="{00000000-0004-0000-0200-0000BC050000}"/>
    <hyperlink ref="F1411" r:id="rId1470" location="ns_campaign=amp-rrss-inducido&amp;ns_mchannel=abc-es&amp;ns_source=tw&amp;ns_linkname=noticia.video&amp;ns_fee=0" xr:uid="{00000000-0004-0000-0200-0000BD050000}"/>
    <hyperlink ref="F1412" r:id="rId1471" location="ns_campaign=amp-rrss-inducido&amp;ns_mchannel=abc-es&amp;ns_source=tw&amp;ns_linkname=noticia.video&amp;ns_fee=0" xr:uid="{00000000-0004-0000-0200-0000BE050000}"/>
    <hyperlink ref="S1413" r:id="rId1472" xr:uid="{00000000-0004-0000-0200-0000BF050000}"/>
    <hyperlink ref="F1414" r:id="rId1473" xr:uid="{00000000-0004-0000-0200-0000C0050000}"/>
    <hyperlink ref="F1415" r:id="rId1474" xr:uid="{00000000-0004-0000-0200-0000C1050000}"/>
    <hyperlink ref="S1415" r:id="rId1475" xr:uid="{00000000-0004-0000-0200-0000C2050000}"/>
    <hyperlink ref="G1416" r:id="rId1476" xr:uid="{00000000-0004-0000-0200-0000C3050000}"/>
    <hyperlink ref="F1417" r:id="rId1477" xr:uid="{00000000-0004-0000-0200-0000C4050000}"/>
    <hyperlink ref="S1417" r:id="rId1478" xr:uid="{00000000-0004-0000-0200-0000C5050000}"/>
    <hyperlink ref="F1418" r:id="rId1479" xr:uid="{00000000-0004-0000-0200-0000C6050000}"/>
    <hyperlink ref="F1419" r:id="rId1480" xr:uid="{00000000-0004-0000-0200-0000C7050000}"/>
    <hyperlink ref="F1420" r:id="rId1481" xr:uid="{00000000-0004-0000-0200-0000C8050000}"/>
    <hyperlink ref="G1420" r:id="rId1482" xr:uid="{00000000-0004-0000-0200-0000C9050000}"/>
    <hyperlink ref="S1420" r:id="rId1483" xr:uid="{00000000-0004-0000-0200-0000CA050000}"/>
    <hyperlink ref="G1421" r:id="rId1484" xr:uid="{00000000-0004-0000-0200-0000CB050000}"/>
    <hyperlink ref="F1422" r:id="rId1485" xr:uid="{00000000-0004-0000-0200-0000CC050000}"/>
    <hyperlink ref="G1422" r:id="rId1486" xr:uid="{00000000-0004-0000-0200-0000CD050000}"/>
    <hyperlink ref="F1423" r:id="rId1487" xr:uid="{00000000-0004-0000-0200-0000CE050000}"/>
    <hyperlink ref="S1425" r:id="rId1488" xr:uid="{00000000-0004-0000-0200-0000CF050000}"/>
    <hyperlink ref="F1426" r:id="rId1489" location="ns_campaign=gs-ms&amp;ns_mchannel=diariosur&amp;ns_source=tw&amp;ns_linkname=ltl" xr:uid="{00000000-0004-0000-0200-0000D0050000}"/>
    <hyperlink ref="S1426" r:id="rId1490" xr:uid="{00000000-0004-0000-0200-0000D1050000}"/>
    <hyperlink ref="F1428" r:id="rId1491" xr:uid="{00000000-0004-0000-0200-0000D2050000}"/>
    <hyperlink ref="G1429" r:id="rId1492" xr:uid="{00000000-0004-0000-0200-0000D3050000}"/>
    <hyperlink ref="F1430" r:id="rId1493" xr:uid="{00000000-0004-0000-0200-0000D4050000}"/>
    <hyperlink ref="S1430" r:id="rId1494" xr:uid="{00000000-0004-0000-0200-0000D5050000}"/>
    <hyperlink ref="F1431" r:id="rId1495" xr:uid="{00000000-0004-0000-0200-0000D6050000}"/>
    <hyperlink ref="G1432" r:id="rId1496" xr:uid="{00000000-0004-0000-0200-0000D7050000}"/>
    <hyperlink ref="S1432" r:id="rId1497" xr:uid="{00000000-0004-0000-0200-0000D8050000}"/>
    <hyperlink ref="G1434" r:id="rId1498" xr:uid="{00000000-0004-0000-0200-0000D9050000}"/>
    <hyperlink ref="G1435" r:id="rId1499" xr:uid="{00000000-0004-0000-0200-0000DA050000}"/>
    <hyperlink ref="S1435" r:id="rId1500" xr:uid="{00000000-0004-0000-0200-0000DB050000}"/>
    <hyperlink ref="F1437" r:id="rId1501" xr:uid="{00000000-0004-0000-0200-0000DC050000}"/>
    <hyperlink ref="G1438" r:id="rId1502" xr:uid="{00000000-0004-0000-0200-0000DD050000}"/>
    <hyperlink ref="S1440" r:id="rId1503" xr:uid="{00000000-0004-0000-0200-0000DE050000}"/>
    <hyperlink ref="G1442" r:id="rId1504" xr:uid="{00000000-0004-0000-0200-0000DF050000}"/>
    <hyperlink ref="S1442" r:id="rId1505" xr:uid="{00000000-0004-0000-0200-0000E0050000}"/>
    <hyperlink ref="F1443" r:id="rId1506" location="ns_campaign=amp-rrss-inducido&amp;ns_mchannel=abc-es&amp;ns_source=tw&amp;ns_linkname=noticia.video&amp;ns_fee=0" xr:uid="{00000000-0004-0000-0200-0000E1050000}"/>
    <hyperlink ref="G1444" r:id="rId1507" xr:uid="{00000000-0004-0000-0200-0000E2050000}"/>
    <hyperlink ref="G1445" r:id="rId1508" xr:uid="{00000000-0004-0000-0200-0000E3050000}"/>
    <hyperlink ref="S1445" r:id="rId1509" xr:uid="{00000000-0004-0000-0200-0000E4050000}"/>
    <hyperlink ref="S1446" r:id="rId1510" xr:uid="{00000000-0004-0000-0200-0000E5050000}"/>
    <hyperlink ref="F1447" r:id="rId1511" xr:uid="{00000000-0004-0000-0200-0000E6050000}"/>
    <hyperlink ref="F1448" r:id="rId1512" xr:uid="{00000000-0004-0000-0200-0000E7050000}"/>
    <hyperlink ref="G1448" r:id="rId1513" xr:uid="{00000000-0004-0000-0200-0000E8050000}"/>
    <hyperlink ref="S1450" r:id="rId1514" xr:uid="{00000000-0004-0000-0200-0000E9050000}"/>
    <hyperlink ref="F1451" r:id="rId1515" xr:uid="{00000000-0004-0000-0200-0000EA050000}"/>
    <hyperlink ref="G1451" r:id="rId1516" xr:uid="{00000000-0004-0000-0200-0000EB050000}"/>
    <hyperlink ref="F1452" r:id="rId1517" xr:uid="{00000000-0004-0000-0200-0000EC050000}"/>
    <hyperlink ref="S1452" r:id="rId1518" xr:uid="{00000000-0004-0000-0200-0000ED050000}"/>
    <hyperlink ref="F1453" r:id="rId1519" xr:uid="{00000000-0004-0000-0200-0000EE050000}"/>
    <hyperlink ref="G1453" r:id="rId1520" xr:uid="{00000000-0004-0000-0200-0000EF050000}"/>
    <hyperlink ref="S1453" r:id="rId1521" xr:uid="{00000000-0004-0000-0200-0000F0050000}"/>
    <hyperlink ref="G1454" r:id="rId1522" xr:uid="{00000000-0004-0000-0200-0000F1050000}"/>
    <hyperlink ref="F1456" r:id="rId1523" xr:uid="{00000000-0004-0000-0200-0000F2050000}"/>
    <hyperlink ref="F1457" r:id="rId1524" xr:uid="{00000000-0004-0000-0200-0000F3050000}"/>
    <hyperlink ref="S1459" r:id="rId1525" xr:uid="{00000000-0004-0000-0200-0000F4050000}"/>
    <hyperlink ref="S1461" r:id="rId1526" xr:uid="{00000000-0004-0000-0200-0000F5050000}"/>
    <hyperlink ref="S1462" r:id="rId1527" xr:uid="{00000000-0004-0000-0200-0000F6050000}"/>
    <hyperlink ref="G1463" r:id="rId1528" xr:uid="{00000000-0004-0000-0200-0000F7050000}"/>
    <hyperlink ref="S1463" r:id="rId1529" xr:uid="{00000000-0004-0000-0200-0000F8050000}"/>
    <hyperlink ref="F1464" r:id="rId1530" xr:uid="{00000000-0004-0000-0200-0000F9050000}"/>
    <hyperlink ref="S1464" r:id="rId1531" xr:uid="{00000000-0004-0000-0200-0000FA050000}"/>
    <hyperlink ref="F1465" r:id="rId1532" xr:uid="{00000000-0004-0000-0200-0000FB050000}"/>
    <hyperlink ref="F1466" r:id="rId1533" xr:uid="{00000000-0004-0000-0200-0000FC050000}"/>
    <hyperlink ref="G1466" r:id="rId1534" xr:uid="{00000000-0004-0000-0200-0000FD050000}"/>
    <hyperlink ref="S1467" r:id="rId1535" xr:uid="{00000000-0004-0000-0200-0000FE050000}"/>
    <hyperlink ref="G1469" r:id="rId1536" xr:uid="{00000000-0004-0000-0200-0000FF050000}"/>
    <hyperlink ref="F1472" r:id="rId1537" xr:uid="{00000000-0004-0000-0200-000000060000}"/>
    <hyperlink ref="S1473" r:id="rId1538" xr:uid="{00000000-0004-0000-0200-000001060000}"/>
    <hyperlink ref="G1475" r:id="rId1539" xr:uid="{00000000-0004-0000-0200-000002060000}"/>
    <hyperlink ref="S1475" r:id="rId1540" xr:uid="{00000000-0004-0000-0200-000003060000}"/>
    <hyperlink ref="F1476" r:id="rId1541" xr:uid="{00000000-0004-0000-0200-000004060000}"/>
    <hyperlink ref="G1477" r:id="rId1542" xr:uid="{00000000-0004-0000-0200-000005060000}"/>
    <hyperlink ref="S1477" r:id="rId1543" xr:uid="{00000000-0004-0000-0200-000006060000}"/>
    <hyperlink ref="G1478" r:id="rId1544" xr:uid="{00000000-0004-0000-0200-000007060000}"/>
    <hyperlink ref="G1480" r:id="rId1545" xr:uid="{00000000-0004-0000-0200-000008060000}"/>
    <hyperlink ref="G1481" r:id="rId1546" xr:uid="{00000000-0004-0000-0200-000009060000}"/>
    <hyperlink ref="G1482" r:id="rId1547" xr:uid="{00000000-0004-0000-0200-00000A060000}"/>
    <hyperlink ref="S1483" r:id="rId1548" xr:uid="{00000000-0004-0000-0200-00000B060000}"/>
    <hyperlink ref="F1486" r:id="rId1549" xr:uid="{00000000-0004-0000-0200-00000C060000}"/>
    <hyperlink ref="S1486" r:id="rId1550" xr:uid="{00000000-0004-0000-0200-00000D060000}"/>
    <hyperlink ref="S1487" r:id="rId1551" xr:uid="{00000000-0004-0000-0200-00000E060000}"/>
    <hyperlink ref="G1490" r:id="rId1552" xr:uid="{00000000-0004-0000-0200-00000F060000}"/>
    <hyperlink ref="G1492" r:id="rId1553" xr:uid="{00000000-0004-0000-0200-000010060000}"/>
    <hyperlink ref="G1493" r:id="rId1554" xr:uid="{00000000-0004-0000-0200-000011060000}"/>
    <hyperlink ref="G1496" r:id="rId1555" xr:uid="{00000000-0004-0000-0200-000012060000}"/>
    <hyperlink ref="S1496" r:id="rId1556" xr:uid="{00000000-0004-0000-0200-000013060000}"/>
    <hyperlink ref="F1497" r:id="rId1557" xr:uid="{00000000-0004-0000-0200-000014060000}"/>
    <hyperlink ref="G1497" r:id="rId1558" xr:uid="{00000000-0004-0000-0200-000015060000}"/>
    <hyperlink ref="F1499" r:id="rId1559" xr:uid="{00000000-0004-0000-0200-000016060000}"/>
    <hyperlink ref="S1499" r:id="rId1560" xr:uid="{00000000-0004-0000-0200-000017060000}"/>
    <hyperlink ref="F1500" r:id="rId1561" xr:uid="{00000000-0004-0000-0200-000018060000}"/>
    <hyperlink ref="S1500" r:id="rId1562" xr:uid="{00000000-0004-0000-0200-000019060000}"/>
    <hyperlink ref="F1501" r:id="rId1563" xr:uid="{00000000-0004-0000-0200-00001A060000}"/>
    <hyperlink ref="F1502" r:id="rId1564" xr:uid="{00000000-0004-0000-0200-00001B060000}"/>
    <hyperlink ref="F1503" r:id="rId1565" xr:uid="{00000000-0004-0000-0200-00001C060000}"/>
    <hyperlink ref="F1504" r:id="rId1566" xr:uid="{00000000-0004-0000-0200-00001D060000}"/>
    <hyperlink ref="G1505" r:id="rId1567" xr:uid="{00000000-0004-0000-0200-00001E060000}"/>
    <hyperlink ref="S1505" r:id="rId1568" xr:uid="{00000000-0004-0000-0200-00001F060000}"/>
    <hyperlink ref="S1506" r:id="rId1569" xr:uid="{00000000-0004-0000-0200-000020060000}"/>
    <hyperlink ref="S1507" r:id="rId1570" xr:uid="{00000000-0004-0000-0200-000021060000}"/>
    <hyperlink ref="F1508" r:id="rId1571" xr:uid="{00000000-0004-0000-0200-000022060000}"/>
    <hyperlink ref="G1508" r:id="rId1572" xr:uid="{00000000-0004-0000-0200-000023060000}"/>
    <hyperlink ref="S1508" r:id="rId1573" xr:uid="{00000000-0004-0000-0200-000024060000}"/>
    <hyperlink ref="F1509" r:id="rId1574" location=".XAfYqa7_Ubk.twitter" xr:uid="{00000000-0004-0000-0200-000025060000}"/>
    <hyperlink ref="S1509" r:id="rId1575" xr:uid="{00000000-0004-0000-0200-000026060000}"/>
    <hyperlink ref="S1510" r:id="rId1576" xr:uid="{00000000-0004-0000-0200-000027060000}"/>
    <hyperlink ref="F1511" r:id="rId1577" xr:uid="{00000000-0004-0000-0200-000028060000}"/>
    <hyperlink ref="F1514" r:id="rId1578" xr:uid="{00000000-0004-0000-0200-000029060000}"/>
    <hyperlink ref="G1514" r:id="rId1579" xr:uid="{00000000-0004-0000-0200-00002A060000}"/>
    <hyperlink ref="S1514" r:id="rId1580" xr:uid="{00000000-0004-0000-0200-00002B060000}"/>
    <hyperlink ref="F1515" r:id="rId1581" location="Echobox=1544014810" xr:uid="{00000000-0004-0000-0200-00002C060000}"/>
    <hyperlink ref="S1515" r:id="rId1582" xr:uid="{00000000-0004-0000-0200-00002D060000}"/>
    <hyperlink ref="G1516" r:id="rId1583" xr:uid="{00000000-0004-0000-0200-00002E060000}"/>
    <hyperlink ref="F1520" r:id="rId1584" xr:uid="{00000000-0004-0000-0200-00002F060000}"/>
    <hyperlink ref="S1520" r:id="rId1585" xr:uid="{00000000-0004-0000-0200-000030060000}"/>
    <hyperlink ref="S1522" r:id="rId1586" xr:uid="{00000000-0004-0000-0200-000031060000}"/>
    <hyperlink ref="F1523" r:id="rId1587" xr:uid="{00000000-0004-0000-0200-000032060000}"/>
    <hyperlink ref="S1527" r:id="rId1588" xr:uid="{00000000-0004-0000-0200-000033060000}"/>
    <hyperlink ref="G1529" r:id="rId1589" xr:uid="{00000000-0004-0000-0200-000034060000}"/>
    <hyperlink ref="F1530" r:id="rId1590" xr:uid="{00000000-0004-0000-0200-000035060000}"/>
    <hyperlink ref="G1530" r:id="rId1591" xr:uid="{00000000-0004-0000-0200-000036060000}"/>
    <hyperlink ref="F1533" r:id="rId1592" location="Echobox=1544014810" xr:uid="{00000000-0004-0000-0200-000037060000}"/>
    <hyperlink ref="S1533" r:id="rId1593" xr:uid="{00000000-0004-0000-0200-000038060000}"/>
    <hyperlink ref="G1536" r:id="rId1594" xr:uid="{00000000-0004-0000-0200-000039060000}"/>
    <hyperlink ref="S1536" r:id="rId1595" xr:uid="{00000000-0004-0000-0200-00003A060000}"/>
    <hyperlink ref="F1537" r:id="rId1596" xr:uid="{00000000-0004-0000-0200-00003B060000}"/>
    <hyperlink ref="F1538" r:id="rId1597" location="Echobox=1544014926" xr:uid="{00000000-0004-0000-0200-00003C060000}"/>
    <hyperlink ref="S1538" r:id="rId1598" xr:uid="{00000000-0004-0000-0200-00003D060000}"/>
    <hyperlink ref="F1539" r:id="rId1599" location="Echobox=1544015335" xr:uid="{00000000-0004-0000-0200-00003E060000}"/>
    <hyperlink ref="S1539" r:id="rId1600" xr:uid="{00000000-0004-0000-0200-00003F060000}"/>
    <hyperlink ref="G1540" r:id="rId1601" xr:uid="{00000000-0004-0000-0200-000040060000}"/>
    <hyperlink ref="S1542" r:id="rId1602" xr:uid="{00000000-0004-0000-0200-000041060000}"/>
    <hyperlink ref="G1544" r:id="rId1603" xr:uid="{00000000-0004-0000-0200-000042060000}"/>
    <hyperlink ref="F1547" r:id="rId1604" xr:uid="{00000000-0004-0000-0200-000043060000}"/>
    <hyperlink ref="S1547" r:id="rId1605" xr:uid="{00000000-0004-0000-0200-000044060000}"/>
    <hyperlink ref="S1548" r:id="rId1606" xr:uid="{00000000-0004-0000-0200-000045060000}"/>
    <hyperlink ref="S1551" r:id="rId1607" xr:uid="{00000000-0004-0000-0200-000046060000}"/>
    <hyperlink ref="G1552" r:id="rId1608" xr:uid="{00000000-0004-0000-0200-000047060000}"/>
    <hyperlink ref="S1553" r:id="rId1609" xr:uid="{00000000-0004-0000-0200-000048060000}"/>
    <hyperlink ref="F1554" r:id="rId1610" xr:uid="{00000000-0004-0000-0200-000049060000}"/>
    <hyperlink ref="G1554" r:id="rId1611" xr:uid="{00000000-0004-0000-0200-00004A060000}"/>
    <hyperlink ref="F1555" r:id="rId1612" xr:uid="{00000000-0004-0000-0200-00004B060000}"/>
    <hyperlink ref="G1556" r:id="rId1613" xr:uid="{00000000-0004-0000-0200-00004C060000}"/>
    <hyperlink ref="S1557" r:id="rId1614" xr:uid="{00000000-0004-0000-0200-00004D060000}"/>
    <hyperlink ref="F1558" r:id="rId1615" xr:uid="{00000000-0004-0000-0200-00004E060000}"/>
    <hyperlink ref="G1559" r:id="rId1616" xr:uid="{00000000-0004-0000-0200-00004F060000}"/>
    <hyperlink ref="S1559" r:id="rId1617" xr:uid="{00000000-0004-0000-0200-000050060000}"/>
    <hyperlink ref="F1560" r:id="rId1618" xr:uid="{00000000-0004-0000-0200-000051060000}"/>
    <hyperlink ref="G1561" r:id="rId1619" xr:uid="{00000000-0004-0000-0200-000052060000}"/>
    <hyperlink ref="F1564" r:id="rId1620" xr:uid="{00000000-0004-0000-0200-000053060000}"/>
    <hyperlink ref="G1564" r:id="rId1621" xr:uid="{00000000-0004-0000-0200-000054060000}"/>
    <hyperlink ref="S1564" r:id="rId1622" xr:uid="{00000000-0004-0000-0200-000055060000}"/>
    <hyperlink ref="F1565" r:id="rId1623" xr:uid="{00000000-0004-0000-0200-000056060000}"/>
    <hyperlink ref="G1565" r:id="rId1624" xr:uid="{00000000-0004-0000-0200-000057060000}"/>
    <hyperlink ref="G1566" r:id="rId1625" xr:uid="{00000000-0004-0000-0200-000058060000}"/>
    <hyperlink ref="F1571" r:id="rId1626" xr:uid="{00000000-0004-0000-0200-000059060000}"/>
    <hyperlink ref="G1571" r:id="rId1627" xr:uid="{00000000-0004-0000-0200-00005A060000}"/>
    <hyperlink ref="S1572" r:id="rId1628" xr:uid="{00000000-0004-0000-0200-00005B060000}"/>
    <hyperlink ref="F1575" r:id="rId1629" xr:uid="{00000000-0004-0000-0200-00005C060000}"/>
    <hyperlink ref="S1575" r:id="rId1630" xr:uid="{00000000-0004-0000-0200-00005D060000}"/>
    <hyperlink ref="S1576" r:id="rId1631" xr:uid="{00000000-0004-0000-0200-00005E060000}"/>
    <hyperlink ref="F1577" r:id="rId1632" xr:uid="{00000000-0004-0000-0200-00005F060000}"/>
    <hyperlink ref="S1577" r:id="rId1633" xr:uid="{00000000-0004-0000-0200-000060060000}"/>
    <hyperlink ref="F1578" r:id="rId1634" xr:uid="{00000000-0004-0000-0200-000061060000}"/>
    <hyperlink ref="S1578" r:id="rId1635" xr:uid="{00000000-0004-0000-0200-000062060000}"/>
    <hyperlink ref="G1580" r:id="rId1636" xr:uid="{00000000-0004-0000-0200-000063060000}"/>
    <hyperlink ref="S1580" r:id="rId1637" xr:uid="{00000000-0004-0000-0200-000064060000}"/>
    <hyperlink ref="F1581" r:id="rId1638" xr:uid="{00000000-0004-0000-0200-000065060000}"/>
    <hyperlink ref="G1583" r:id="rId1639" xr:uid="{00000000-0004-0000-0200-000066060000}"/>
    <hyperlink ref="F1584" r:id="rId1640" xr:uid="{00000000-0004-0000-0200-000067060000}"/>
    <hyperlink ref="S1584" r:id="rId1641" xr:uid="{00000000-0004-0000-0200-000068060000}"/>
    <hyperlink ref="G1585" r:id="rId1642" xr:uid="{00000000-0004-0000-0200-000069060000}"/>
    <hyperlink ref="G1587" r:id="rId1643" xr:uid="{00000000-0004-0000-0200-00006A060000}"/>
    <hyperlink ref="F1588" r:id="rId1644" xr:uid="{00000000-0004-0000-0200-00006B060000}"/>
    <hyperlink ref="S1588" r:id="rId1645" xr:uid="{00000000-0004-0000-0200-00006C060000}"/>
    <hyperlink ref="F1589" r:id="rId1646" xr:uid="{00000000-0004-0000-0200-00006D060000}"/>
    <hyperlink ref="S1589" r:id="rId1647" xr:uid="{00000000-0004-0000-0200-00006E060000}"/>
    <hyperlink ref="G1590" r:id="rId1648" xr:uid="{00000000-0004-0000-0200-00006F060000}"/>
    <hyperlink ref="G1591" r:id="rId1649" xr:uid="{00000000-0004-0000-0200-000070060000}"/>
    <hyperlink ref="S1591" r:id="rId1650" xr:uid="{00000000-0004-0000-0200-000071060000}"/>
    <hyperlink ref="F1595" r:id="rId1651" xr:uid="{00000000-0004-0000-0200-000072060000}"/>
    <hyperlink ref="S1595" r:id="rId1652" xr:uid="{00000000-0004-0000-0200-000073060000}"/>
    <hyperlink ref="S1596" r:id="rId1653" xr:uid="{00000000-0004-0000-0200-000074060000}"/>
    <hyperlink ref="F1597" r:id="rId1654" xr:uid="{00000000-0004-0000-0200-000075060000}"/>
    <hyperlink ref="G1597" r:id="rId1655" xr:uid="{00000000-0004-0000-0200-000076060000}"/>
    <hyperlink ref="S1598" r:id="rId1656" xr:uid="{00000000-0004-0000-0200-000077060000}"/>
    <hyperlink ref="F1601" r:id="rId1657" xr:uid="{00000000-0004-0000-0200-000078060000}"/>
    <hyperlink ref="S1601" r:id="rId1658" xr:uid="{00000000-0004-0000-0200-000079060000}"/>
    <hyperlink ref="F1602" r:id="rId1659" xr:uid="{00000000-0004-0000-0200-00007A060000}"/>
    <hyperlink ref="S1602" r:id="rId1660" xr:uid="{00000000-0004-0000-0200-00007B060000}"/>
    <hyperlink ref="S1603" r:id="rId1661" xr:uid="{00000000-0004-0000-0200-00007C060000}"/>
    <hyperlink ref="S1604" r:id="rId1662" xr:uid="{00000000-0004-0000-0200-00007D060000}"/>
    <hyperlink ref="F1605" r:id="rId1663" xr:uid="{00000000-0004-0000-0200-00007E060000}"/>
    <hyperlink ref="G1605" r:id="rId1664" xr:uid="{00000000-0004-0000-0200-00007F060000}"/>
    <hyperlink ref="F1606" r:id="rId1665" xr:uid="{00000000-0004-0000-0200-000080060000}"/>
    <hyperlink ref="S1608" r:id="rId1666" xr:uid="{00000000-0004-0000-0200-000081060000}"/>
    <hyperlink ref="G1609" r:id="rId1667" xr:uid="{00000000-0004-0000-0200-000082060000}"/>
    <hyperlink ref="G1611" r:id="rId1668" xr:uid="{00000000-0004-0000-0200-000083060000}"/>
    <hyperlink ref="S1612" r:id="rId1669" xr:uid="{00000000-0004-0000-0200-000084060000}"/>
    <hyperlink ref="G1613" r:id="rId1670" xr:uid="{00000000-0004-0000-0200-000085060000}"/>
    <hyperlink ref="F1614" r:id="rId1671" xr:uid="{00000000-0004-0000-0200-000086060000}"/>
    <hyperlink ref="F1616" r:id="rId1672" xr:uid="{00000000-0004-0000-0200-000087060000}"/>
    <hyperlink ref="F1617" r:id="rId1673" xr:uid="{00000000-0004-0000-0200-000088060000}"/>
    <hyperlink ref="G1619" r:id="rId1674" xr:uid="{00000000-0004-0000-0200-000089060000}"/>
    <hyperlink ref="S1619" r:id="rId1675" xr:uid="{00000000-0004-0000-0200-00008A060000}"/>
    <hyperlink ref="F1620" r:id="rId1676" xr:uid="{00000000-0004-0000-0200-00008B060000}"/>
    <hyperlink ref="F1621" r:id="rId1677" xr:uid="{00000000-0004-0000-0200-00008C060000}"/>
    <hyperlink ref="G1621" r:id="rId1678" xr:uid="{00000000-0004-0000-0200-00008D060000}"/>
    <hyperlink ref="G1622" r:id="rId1679" xr:uid="{00000000-0004-0000-0200-00008E060000}"/>
    <hyperlink ref="S1622" r:id="rId1680" xr:uid="{00000000-0004-0000-0200-00008F060000}"/>
    <hyperlink ref="F1626" r:id="rId1681" xr:uid="{00000000-0004-0000-0200-000090060000}"/>
    <hyperlink ref="G1626" r:id="rId1682" xr:uid="{00000000-0004-0000-0200-000091060000}"/>
    <hyperlink ref="F1627" r:id="rId1683" xr:uid="{00000000-0004-0000-0200-000092060000}"/>
    <hyperlink ref="G1627" r:id="rId1684" xr:uid="{00000000-0004-0000-0200-000093060000}"/>
    <hyperlink ref="S1627" r:id="rId1685" xr:uid="{00000000-0004-0000-0200-000094060000}"/>
    <hyperlink ref="F1628" r:id="rId1686" xr:uid="{00000000-0004-0000-0200-000095060000}"/>
    <hyperlink ref="G1628" r:id="rId1687" xr:uid="{00000000-0004-0000-0200-000096060000}"/>
    <hyperlink ref="S1628" r:id="rId1688" xr:uid="{00000000-0004-0000-0200-000097060000}"/>
    <hyperlink ref="S1630" r:id="rId1689" xr:uid="{00000000-0004-0000-0200-000098060000}"/>
    <hyperlink ref="G1631" r:id="rId1690" xr:uid="{00000000-0004-0000-0200-000099060000}"/>
    <hyperlink ref="F1632" r:id="rId1691" xr:uid="{00000000-0004-0000-0200-00009A060000}"/>
    <hyperlink ref="G1632" r:id="rId1692" xr:uid="{00000000-0004-0000-0200-00009B060000}"/>
    <hyperlink ref="F1633" r:id="rId1693" xr:uid="{00000000-0004-0000-0200-00009C060000}"/>
    <hyperlink ref="S1634" r:id="rId1694" xr:uid="{00000000-0004-0000-0200-00009D060000}"/>
    <hyperlink ref="G1635" r:id="rId1695" xr:uid="{00000000-0004-0000-0200-00009E060000}"/>
    <hyperlink ref="G1636" r:id="rId1696" xr:uid="{00000000-0004-0000-0200-00009F060000}"/>
    <hyperlink ref="S1636" r:id="rId1697" xr:uid="{00000000-0004-0000-0200-0000A0060000}"/>
    <hyperlink ref="G1637" r:id="rId1698" xr:uid="{00000000-0004-0000-0200-0000A1060000}"/>
    <hyperlink ref="F1639" r:id="rId1699" xr:uid="{00000000-0004-0000-0200-0000A2060000}"/>
    <hyperlink ref="G1639" r:id="rId1700" xr:uid="{00000000-0004-0000-0200-0000A3060000}"/>
    <hyperlink ref="S1639" r:id="rId1701" xr:uid="{00000000-0004-0000-0200-0000A4060000}"/>
    <hyperlink ref="F1641" r:id="rId1702" xr:uid="{00000000-0004-0000-0200-0000A5060000}"/>
    <hyperlink ref="F1643" r:id="rId1703" xr:uid="{00000000-0004-0000-0200-0000A6060000}"/>
    <hyperlink ref="G1643" r:id="rId1704" xr:uid="{00000000-0004-0000-0200-0000A7060000}"/>
    <hyperlink ref="S1643" r:id="rId1705" xr:uid="{00000000-0004-0000-0200-0000A8060000}"/>
    <hyperlink ref="S1648" r:id="rId1706" xr:uid="{00000000-0004-0000-0200-0000A9060000}"/>
    <hyperlink ref="F1649" r:id="rId1707" xr:uid="{00000000-0004-0000-0200-0000AA060000}"/>
    <hyperlink ref="S1649" r:id="rId1708" xr:uid="{00000000-0004-0000-0200-0000AB060000}"/>
    <hyperlink ref="F1651" r:id="rId1709" xr:uid="{00000000-0004-0000-0200-0000AC060000}"/>
    <hyperlink ref="S1652" r:id="rId1710" xr:uid="{00000000-0004-0000-0200-0000AD060000}"/>
    <hyperlink ref="S1653" r:id="rId1711" xr:uid="{00000000-0004-0000-0200-0000AE060000}"/>
    <hyperlink ref="F1654" r:id="rId1712" xr:uid="{00000000-0004-0000-0200-0000AF060000}"/>
    <hyperlink ref="G1654" r:id="rId1713" xr:uid="{00000000-0004-0000-0200-0000B0060000}"/>
    <hyperlink ref="F1655" r:id="rId1714" xr:uid="{00000000-0004-0000-0200-0000B1060000}"/>
    <hyperlink ref="S1655" r:id="rId1715" xr:uid="{00000000-0004-0000-0200-0000B2060000}"/>
    <hyperlink ref="F1656" r:id="rId1716" xr:uid="{00000000-0004-0000-0200-0000B3060000}"/>
    <hyperlink ref="S1656" r:id="rId1717" xr:uid="{00000000-0004-0000-0200-0000B4060000}"/>
    <hyperlink ref="F1660" r:id="rId1718" xr:uid="{00000000-0004-0000-0200-0000B5060000}"/>
    <hyperlink ref="G1662" r:id="rId1719" xr:uid="{00000000-0004-0000-0200-0000B6060000}"/>
    <hyperlink ref="G1665" r:id="rId1720" xr:uid="{00000000-0004-0000-0200-0000B7060000}"/>
    <hyperlink ref="S1665" r:id="rId1721" xr:uid="{00000000-0004-0000-0200-0000B8060000}"/>
    <hyperlink ref="F1666" r:id="rId1722" xr:uid="{00000000-0004-0000-0200-0000B9060000}"/>
    <hyperlink ref="G1667" r:id="rId1723" xr:uid="{00000000-0004-0000-0200-0000BA060000}"/>
    <hyperlink ref="G1670" r:id="rId1724" xr:uid="{00000000-0004-0000-0200-0000BB060000}"/>
    <hyperlink ref="S1670" r:id="rId1725" xr:uid="{00000000-0004-0000-0200-0000BC060000}"/>
    <hyperlink ref="S1671" r:id="rId1726" xr:uid="{00000000-0004-0000-0200-0000BD060000}"/>
    <hyperlink ref="F1672" r:id="rId1727" xr:uid="{00000000-0004-0000-0200-0000BE060000}"/>
    <hyperlink ref="F1673" r:id="rId1728" xr:uid="{00000000-0004-0000-0200-0000BF060000}"/>
    <hyperlink ref="S1673" r:id="rId1729" xr:uid="{00000000-0004-0000-0200-0000C0060000}"/>
    <hyperlink ref="F1674" r:id="rId1730" xr:uid="{00000000-0004-0000-0200-0000C1060000}"/>
    <hyperlink ref="F1675" r:id="rId1731" xr:uid="{00000000-0004-0000-0200-0000C2060000}"/>
    <hyperlink ref="G1675" r:id="rId1732" xr:uid="{00000000-0004-0000-0200-0000C3060000}"/>
    <hyperlink ref="S1675" r:id="rId1733" xr:uid="{00000000-0004-0000-0200-0000C4060000}"/>
    <hyperlink ref="F1677" r:id="rId1734" xr:uid="{00000000-0004-0000-0200-0000C5060000}"/>
    <hyperlink ref="S1678" r:id="rId1735" xr:uid="{00000000-0004-0000-0200-0000C6060000}"/>
    <hyperlink ref="F1679" r:id="rId1736" xr:uid="{00000000-0004-0000-0200-0000C7060000}"/>
    <hyperlink ref="G1679" r:id="rId1737" xr:uid="{00000000-0004-0000-0200-0000C8060000}"/>
    <hyperlink ref="S1679" r:id="rId1738" xr:uid="{00000000-0004-0000-0200-0000C9060000}"/>
    <hyperlink ref="F1680" r:id="rId1739" location=".XAablyAAW-Y.twitter" xr:uid="{00000000-0004-0000-0200-0000CA060000}"/>
    <hyperlink ref="S1681" r:id="rId1740" xr:uid="{00000000-0004-0000-0200-0000CB060000}"/>
    <hyperlink ref="G1682" r:id="rId1741" xr:uid="{00000000-0004-0000-0200-0000CC060000}"/>
    <hyperlink ref="S1682" r:id="rId1742" xr:uid="{00000000-0004-0000-0200-0000CD060000}"/>
    <hyperlink ref="G1683" r:id="rId1743" xr:uid="{00000000-0004-0000-0200-0000CE060000}"/>
    <hyperlink ref="S1684" r:id="rId1744" xr:uid="{00000000-0004-0000-0200-0000CF060000}"/>
    <hyperlink ref="F1687" r:id="rId1745" location=".XAekTNDV_NE.twitter" xr:uid="{00000000-0004-0000-0200-0000D0060000}"/>
    <hyperlink ref="F1688" r:id="rId1746" xr:uid="{00000000-0004-0000-0200-0000D1060000}"/>
    <hyperlink ref="G1688" r:id="rId1747" xr:uid="{00000000-0004-0000-0200-0000D2060000}"/>
    <hyperlink ref="S1688" r:id="rId1748" xr:uid="{00000000-0004-0000-0200-0000D3060000}"/>
    <hyperlink ref="G1691" r:id="rId1749" xr:uid="{00000000-0004-0000-0200-0000D4060000}"/>
    <hyperlink ref="S1691" r:id="rId1750" xr:uid="{00000000-0004-0000-0200-0000D5060000}"/>
    <hyperlink ref="F1692" r:id="rId1751" xr:uid="{00000000-0004-0000-0200-0000D6060000}"/>
    <hyperlink ref="G1692" r:id="rId1752" xr:uid="{00000000-0004-0000-0200-0000D7060000}"/>
    <hyperlink ref="S1692" r:id="rId1753" xr:uid="{00000000-0004-0000-0200-0000D8060000}"/>
    <hyperlink ref="G1693" r:id="rId1754" xr:uid="{00000000-0004-0000-0200-0000D9060000}"/>
    <hyperlink ref="F1694" r:id="rId1755" xr:uid="{00000000-0004-0000-0200-0000DA060000}"/>
    <hyperlink ref="G1695" r:id="rId1756" xr:uid="{00000000-0004-0000-0200-0000DB060000}"/>
    <hyperlink ref="S1695" r:id="rId1757" xr:uid="{00000000-0004-0000-0200-0000DC060000}"/>
    <hyperlink ref="F1696" r:id="rId1758" xr:uid="{00000000-0004-0000-0200-0000DD060000}"/>
    <hyperlink ref="S1696" r:id="rId1759" xr:uid="{00000000-0004-0000-0200-0000DE060000}"/>
    <hyperlink ref="F1699" r:id="rId1760" xr:uid="{00000000-0004-0000-0200-0000DF060000}"/>
    <hyperlink ref="G1699" r:id="rId1761" xr:uid="{00000000-0004-0000-0200-0000E0060000}"/>
    <hyperlink ref="S1699" r:id="rId1762" xr:uid="{00000000-0004-0000-0200-0000E1060000}"/>
    <hyperlink ref="G1701" r:id="rId1763" xr:uid="{00000000-0004-0000-0200-0000E2060000}"/>
    <hyperlink ref="S1701" r:id="rId1764" xr:uid="{00000000-0004-0000-0200-0000E3060000}"/>
    <hyperlink ref="G1702" r:id="rId1765" xr:uid="{00000000-0004-0000-0200-0000E4060000}"/>
    <hyperlink ref="S1704" r:id="rId1766" xr:uid="{00000000-0004-0000-0200-0000E5060000}"/>
    <hyperlink ref="G1705" r:id="rId1767" xr:uid="{00000000-0004-0000-0200-0000E6060000}"/>
    <hyperlink ref="S1705" r:id="rId1768" xr:uid="{00000000-0004-0000-0200-0000E7060000}"/>
    <hyperlink ref="S1706" r:id="rId1769" xr:uid="{00000000-0004-0000-0200-0000E8060000}"/>
    <hyperlink ref="S1707" r:id="rId1770" xr:uid="{00000000-0004-0000-0200-0000E9060000}"/>
    <hyperlink ref="F1709" r:id="rId1771" xr:uid="{00000000-0004-0000-0200-0000EA060000}"/>
    <hyperlink ref="S1709" r:id="rId1772" xr:uid="{00000000-0004-0000-0200-0000EB060000}"/>
    <hyperlink ref="F1710" r:id="rId1773" xr:uid="{00000000-0004-0000-0200-0000EC060000}"/>
    <hyperlink ref="G1710" r:id="rId1774" xr:uid="{00000000-0004-0000-0200-0000ED060000}"/>
    <hyperlink ref="S1710" r:id="rId1775" xr:uid="{00000000-0004-0000-0200-0000EE060000}"/>
    <hyperlink ref="F1712" r:id="rId1776" xr:uid="{00000000-0004-0000-0200-0000EF060000}"/>
    <hyperlink ref="F1713" r:id="rId1777" xr:uid="{00000000-0004-0000-0200-0000F0060000}"/>
    <hyperlink ref="G1714" r:id="rId1778" xr:uid="{00000000-0004-0000-0200-0000F1060000}"/>
    <hyperlink ref="G1715" r:id="rId1779" xr:uid="{00000000-0004-0000-0200-0000F2060000}"/>
    <hyperlink ref="F1716" r:id="rId1780" xr:uid="{00000000-0004-0000-0200-0000F3060000}"/>
    <hyperlink ref="G1716" r:id="rId1781" xr:uid="{00000000-0004-0000-0200-0000F4060000}"/>
    <hyperlink ref="S1716" r:id="rId1782" xr:uid="{00000000-0004-0000-0200-0000F5060000}"/>
    <hyperlink ref="S1717" r:id="rId1783" xr:uid="{00000000-0004-0000-0200-0000F6060000}"/>
    <hyperlink ref="F1719" r:id="rId1784" xr:uid="{00000000-0004-0000-0200-0000F7060000}"/>
    <hyperlink ref="F1720" r:id="rId1785" xr:uid="{00000000-0004-0000-0200-0000F8060000}"/>
    <hyperlink ref="F1721" r:id="rId1786" xr:uid="{00000000-0004-0000-0200-0000F9060000}"/>
    <hyperlink ref="F1722" r:id="rId1787" xr:uid="{00000000-0004-0000-0200-0000FA060000}"/>
    <hyperlink ref="G1722" r:id="rId1788" xr:uid="{00000000-0004-0000-0200-0000FB060000}"/>
    <hyperlink ref="S1723" r:id="rId1789" xr:uid="{00000000-0004-0000-0200-0000FC060000}"/>
    <hyperlink ref="F1724" r:id="rId1790" xr:uid="{00000000-0004-0000-0200-0000FD060000}"/>
    <hyperlink ref="G1729" r:id="rId1791" xr:uid="{00000000-0004-0000-0200-0000FE060000}"/>
    <hyperlink ref="S1729" r:id="rId1792" xr:uid="{00000000-0004-0000-0200-0000FF060000}"/>
    <hyperlink ref="F1730" r:id="rId1793" xr:uid="{00000000-0004-0000-0200-000000070000}"/>
    <hyperlink ref="G1731" r:id="rId1794" xr:uid="{00000000-0004-0000-0200-000001070000}"/>
    <hyperlink ref="G1732" r:id="rId1795" xr:uid="{00000000-0004-0000-0200-000002070000}"/>
    <hyperlink ref="S1732" r:id="rId1796" xr:uid="{00000000-0004-0000-0200-000003070000}"/>
    <hyperlink ref="F1735" r:id="rId1797" xr:uid="{00000000-0004-0000-0200-000004070000}"/>
    <hyperlink ref="S1737" r:id="rId1798" xr:uid="{00000000-0004-0000-0200-000005070000}"/>
    <hyperlink ref="F1740" r:id="rId1799" xr:uid="{00000000-0004-0000-0200-000006070000}"/>
    <hyperlink ref="G1740" r:id="rId1800" xr:uid="{00000000-0004-0000-0200-000007070000}"/>
    <hyperlink ref="G1745" r:id="rId1801" xr:uid="{00000000-0004-0000-0200-000008070000}"/>
    <hyperlink ref="F1746" r:id="rId1802" xr:uid="{00000000-0004-0000-0200-000009070000}"/>
    <hyperlink ref="S1746" r:id="rId1803" xr:uid="{00000000-0004-0000-0200-00000A070000}"/>
    <hyperlink ref="G1751" r:id="rId1804" xr:uid="{00000000-0004-0000-0200-00000B070000}"/>
    <hyperlink ref="S1751" r:id="rId1805" xr:uid="{00000000-0004-0000-0200-00000C070000}"/>
    <hyperlink ref="S1755" r:id="rId1806" xr:uid="{00000000-0004-0000-0200-00000D070000}"/>
    <hyperlink ref="S1756" r:id="rId1807" xr:uid="{00000000-0004-0000-0200-00000E070000}"/>
    <hyperlink ref="S1758" r:id="rId1808" xr:uid="{00000000-0004-0000-0200-00000F070000}"/>
    <hyperlink ref="S1760" r:id="rId1809" xr:uid="{00000000-0004-0000-0200-000010070000}"/>
    <hyperlink ref="G1764" r:id="rId1810" xr:uid="{00000000-0004-0000-0200-000011070000}"/>
    <hyperlink ref="S1764" r:id="rId1811" xr:uid="{00000000-0004-0000-0200-000012070000}"/>
    <hyperlink ref="F1765" r:id="rId1812" xr:uid="{00000000-0004-0000-0200-000013070000}"/>
    <hyperlink ref="S1765" r:id="rId1813" xr:uid="{00000000-0004-0000-0200-000014070000}"/>
    <hyperlink ref="F1766" r:id="rId1814" location="Grado" xr:uid="{00000000-0004-0000-0200-000015070000}"/>
    <hyperlink ref="F1772" r:id="rId1815" xr:uid="{00000000-0004-0000-0200-000016070000}"/>
    <hyperlink ref="G1772" r:id="rId1816" xr:uid="{00000000-0004-0000-0200-000017070000}"/>
    <hyperlink ref="S1772" r:id="rId1817" xr:uid="{00000000-0004-0000-0200-000018070000}"/>
    <hyperlink ref="G1776" r:id="rId1818" xr:uid="{00000000-0004-0000-0200-000019070000}"/>
    <hyperlink ref="F1781" r:id="rId1819" xr:uid="{00000000-0004-0000-0200-00001A070000}"/>
    <hyperlink ref="F1784" r:id="rId1820" xr:uid="{00000000-0004-0000-0200-00001B070000}"/>
    <hyperlink ref="F1788" r:id="rId1821" xr:uid="{00000000-0004-0000-0200-00001C070000}"/>
    <hyperlink ref="S1788" r:id="rId1822" xr:uid="{00000000-0004-0000-0200-00001D070000}"/>
    <hyperlink ref="G1790" r:id="rId1823" xr:uid="{00000000-0004-0000-0200-00001E070000}"/>
    <hyperlink ref="F1792" r:id="rId1824" xr:uid="{00000000-0004-0000-0200-00001F070000}"/>
    <hyperlink ref="F1795" r:id="rId1825" xr:uid="{00000000-0004-0000-0200-000020070000}"/>
    <hyperlink ref="G1795" r:id="rId1826" xr:uid="{00000000-0004-0000-0200-000021070000}"/>
    <hyperlink ref="S1795" r:id="rId1827" xr:uid="{00000000-0004-0000-0200-000022070000}"/>
    <hyperlink ref="F1796" r:id="rId1828" xr:uid="{00000000-0004-0000-0200-000023070000}"/>
    <hyperlink ref="G1799" r:id="rId1829" xr:uid="{00000000-0004-0000-0200-000024070000}"/>
    <hyperlink ref="S1802" r:id="rId1830" xr:uid="{00000000-0004-0000-0200-000025070000}"/>
    <hyperlink ref="F1805" r:id="rId1831" location="ns_campaign=rrss-inducido&amp;ns_mchannel=abc-es&amp;ns_source=tw&amp;ns_linkname=noticia-foto&amp;ns_fee=0" xr:uid="{00000000-0004-0000-0200-000026070000}"/>
    <hyperlink ref="S1810" r:id="rId1832" xr:uid="{00000000-0004-0000-0200-000027070000}"/>
    <hyperlink ref="F1811" r:id="rId1833" xr:uid="{00000000-0004-0000-0200-000028070000}"/>
    <hyperlink ref="S1811" r:id="rId1834" xr:uid="{00000000-0004-0000-0200-000029070000}"/>
    <hyperlink ref="S1821" r:id="rId1835" xr:uid="{00000000-0004-0000-0200-00002A070000}"/>
    <hyperlink ref="S1824" r:id="rId1836" xr:uid="{00000000-0004-0000-0200-00002B070000}"/>
    <hyperlink ref="G1825" r:id="rId1837" xr:uid="{00000000-0004-0000-0200-00002C070000}"/>
    <hyperlink ref="S1825" r:id="rId1838" xr:uid="{00000000-0004-0000-0200-00002D070000}"/>
    <hyperlink ref="G1830" r:id="rId1839" xr:uid="{00000000-0004-0000-0200-00002E070000}"/>
    <hyperlink ref="S1831" r:id="rId1840" xr:uid="{00000000-0004-0000-0200-00002F070000}"/>
    <hyperlink ref="S1833" r:id="rId1841" xr:uid="{00000000-0004-0000-0200-000030070000}"/>
    <hyperlink ref="G1837" r:id="rId1842" xr:uid="{00000000-0004-0000-0200-000031070000}"/>
    <hyperlink ref="S1837" r:id="rId1843" xr:uid="{00000000-0004-0000-0200-000032070000}"/>
    <hyperlink ref="G1841" r:id="rId1844" xr:uid="{00000000-0004-0000-0200-000033070000}"/>
    <hyperlink ref="S1841" r:id="rId1845" xr:uid="{00000000-0004-0000-0200-000034070000}"/>
    <hyperlink ref="G1842" r:id="rId1846" xr:uid="{00000000-0004-0000-0200-000035070000}"/>
    <hyperlink ref="F1843" r:id="rId1847" xr:uid="{00000000-0004-0000-0200-000036070000}"/>
    <hyperlink ref="S1846" r:id="rId1848" xr:uid="{00000000-0004-0000-0200-000037070000}"/>
    <hyperlink ref="G1848" r:id="rId1849" xr:uid="{00000000-0004-0000-0200-000038070000}"/>
    <hyperlink ref="C1849" r:id="rId1850" xr:uid="{00000000-0004-0000-0200-000039070000}"/>
    <hyperlink ref="F1849" r:id="rId1851" xr:uid="{00000000-0004-0000-0200-00003A070000}"/>
    <hyperlink ref="S1849" r:id="rId1852" xr:uid="{00000000-0004-0000-0200-00003B070000}"/>
    <hyperlink ref="G1852" r:id="rId1853" xr:uid="{00000000-0004-0000-0200-00003C070000}"/>
    <hyperlink ref="S1858" r:id="rId1854" xr:uid="{00000000-0004-0000-0200-00003D070000}"/>
    <hyperlink ref="G1860" r:id="rId1855" xr:uid="{00000000-0004-0000-0200-00003E070000}"/>
    <hyperlink ref="G1867" r:id="rId1856" xr:uid="{00000000-0004-0000-0200-00003F070000}"/>
    <hyperlink ref="S1867" r:id="rId1857" xr:uid="{00000000-0004-0000-0200-000040070000}"/>
    <hyperlink ref="G1874" r:id="rId1858" xr:uid="{00000000-0004-0000-0200-000041070000}"/>
    <hyperlink ref="S1874" r:id="rId1859" xr:uid="{00000000-0004-0000-0200-000042070000}"/>
    <hyperlink ref="F1876" r:id="rId1860" xr:uid="{00000000-0004-0000-0200-000043070000}"/>
    <hyperlink ref="S1876" r:id="rId1861" xr:uid="{00000000-0004-0000-0200-000044070000}"/>
    <hyperlink ref="G1881" r:id="rId1862" xr:uid="{00000000-0004-0000-0200-000045070000}"/>
    <hyperlink ref="F1890" r:id="rId1863" xr:uid="{00000000-0004-0000-0200-000046070000}"/>
    <hyperlink ref="G1890" r:id="rId1864" xr:uid="{00000000-0004-0000-0200-000047070000}"/>
    <hyperlink ref="F1891" r:id="rId1865" xr:uid="{00000000-0004-0000-0200-000048070000}"/>
    <hyperlink ref="S1891" r:id="rId1866" xr:uid="{00000000-0004-0000-0200-000049070000}"/>
    <hyperlink ref="F1892" r:id="rId1867" xr:uid="{00000000-0004-0000-0200-00004A070000}"/>
    <hyperlink ref="S1897" r:id="rId1868" xr:uid="{00000000-0004-0000-0200-00004B070000}"/>
    <hyperlink ref="F1901" r:id="rId1869" xr:uid="{00000000-0004-0000-0200-00004C070000}"/>
    <hyperlink ref="S1901" r:id="rId1870" xr:uid="{00000000-0004-0000-0200-00004D070000}"/>
    <hyperlink ref="F1905" r:id="rId1871" xr:uid="{00000000-0004-0000-0200-00004E070000}"/>
    <hyperlink ref="S1905" r:id="rId1872" xr:uid="{00000000-0004-0000-0200-00004F070000}"/>
    <hyperlink ref="G1910" r:id="rId1873" xr:uid="{00000000-0004-0000-0200-000050070000}"/>
    <hyperlink ref="G1913" r:id="rId1874" xr:uid="{00000000-0004-0000-0200-000051070000}"/>
    <hyperlink ref="S1913" r:id="rId1875" xr:uid="{00000000-0004-0000-0200-000052070000}"/>
    <hyperlink ref="F1914" r:id="rId1876" xr:uid="{00000000-0004-0000-0200-000053070000}"/>
    <hyperlink ref="F1915" r:id="rId1877" xr:uid="{00000000-0004-0000-0200-000054070000}"/>
    <hyperlink ref="G1915" r:id="rId1878" xr:uid="{00000000-0004-0000-0200-000055070000}"/>
    <hyperlink ref="F1916" r:id="rId1879" xr:uid="{00000000-0004-0000-0200-000056070000}"/>
    <hyperlink ref="G1916" r:id="rId1880" xr:uid="{00000000-0004-0000-0200-000057070000}"/>
    <hyperlink ref="S1918" r:id="rId1881" xr:uid="{00000000-0004-0000-0200-000058070000}"/>
    <hyperlink ref="G1920" r:id="rId1882" xr:uid="{00000000-0004-0000-0200-000059070000}"/>
    <hyperlink ref="G1921" r:id="rId1883" xr:uid="{00000000-0004-0000-0200-00005A070000}"/>
    <hyperlink ref="S1921" r:id="rId1884" xr:uid="{00000000-0004-0000-0200-00005B070000}"/>
    <hyperlink ref="G1922" r:id="rId1885" xr:uid="{00000000-0004-0000-0200-00005C070000}"/>
    <hyperlink ref="G1923" r:id="rId1886" xr:uid="{00000000-0004-0000-0200-00005D070000}"/>
    <hyperlink ref="F1929" r:id="rId1887" xr:uid="{00000000-0004-0000-0200-00005E070000}"/>
    <hyperlink ref="G1929" r:id="rId1888" xr:uid="{00000000-0004-0000-0200-00005F070000}"/>
    <hyperlink ref="S1929" r:id="rId1889" xr:uid="{00000000-0004-0000-0200-000060070000}"/>
    <hyperlink ref="F1931" r:id="rId1890" xr:uid="{00000000-0004-0000-0200-000061070000}"/>
    <hyperlink ref="S1931" r:id="rId1891" xr:uid="{00000000-0004-0000-0200-000062070000}"/>
    <hyperlink ref="F1936" r:id="rId1892" xr:uid="{00000000-0004-0000-0200-000063070000}"/>
    <hyperlink ref="G1937" r:id="rId1893" xr:uid="{00000000-0004-0000-0200-000064070000}"/>
    <hyperlink ref="F1938" r:id="rId1894" xr:uid="{00000000-0004-0000-0200-000065070000}"/>
    <hyperlink ref="S1942" r:id="rId1895" xr:uid="{00000000-0004-0000-0200-000066070000}"/>
    <hyperlink ref="F1944" r:id="rId1896" xr:uid="{00000000-0004-0000-0200-000067070000}"/>
    <hyperlink ref="S1944" r:id="rId1897" xr:uid="{00000000-0004-0000-0200-000068070000}"/>
    <hyperlink ref="F1945" r:id="rId1898" xr:uid="{00000000-0004-0000-0200-000069070000}"/>
    <hyperlink ref="S1945" r:id="rId1899" xr:uid="{00000000-0004-0000-0200-00006A070000}"/>
    <hyperlink ref="F1946" r:id="rId1900" xr:uid="{00000000-0004-0000-0200-00006B070000}"/>
    <hyperlink ref="G1946" r:id="rId1901" xr:uid="{00000000-0004-0000-0200-00006C070000}"/>
    <hyperlink ref="G1948" r:id="rId1902" xr:uid="{00000000-0004-0000-0200-00006D070000}"/>
    <hyperlink ref="S1948" r:id="rId1903" xr:uid="{00000000-0004-0000-0200-00006E070000}"/>
    <hyperlink ref="S1949" r:id="rId1904" xr:uid="{00000000-0004-0000-0200-00006F070000}"/>
    <hyperlink ref="S1950" r:id="rId1905" xr:uid="{00000000-0004-0000-0200-000070070000}"/>
    <hyperlink ref="F1952" r:id="rId1906" xr:uid="{00000000-0004-0000-0200-000071070000}"/>
    <hyperlink ref="S1952" r:id="rId1907" xr:uid="{00000000-0004-0000-0200-000072070000}"/>
    <hyperlink ref="G1953" r:id="rId1908" xr:uid="{00000000-0004-0000-0200-000073070000}"/>
    <hyperlink ref="F1954" r:id="rId1909" location="ns_campaign=rrss-inducido&amp;ns_mchannel=abc-es&amp;ns_source=fb&amp;ns_linkname=noticia-video&amp;ns_fee=0" xr:uid="{00000000-0004-0000-0200-000074070000}"/>
    <hyperlink ref="F1955" r:id="rId1910" xr:uid="{00000000-0004-0000-0200-000075070000}"/>
    <hyperlink ref="S1955" r:id="rId1911" xr:uid="{00000000-0004-0000-0200-000076070000}"/>
    <hyperlink ref="G1956" r:id="rId1912" xr:uid="{00000000-0004-0000-0200-000077070000}"/>
    <hyperlink ref="S1957" r:id="rId1913" xr:uid="{00000000-0004-0000-0200-000078070000}"/>
    <hyperlink ref="F1958" r:id="rId1914" xr:uid="{00000000-0004-0000-0200-000079070000}"/>
    <hyperlink ref="G1958" r:id="rId1915" xr:uid="{00000000-0004-0000-0200-00007A070000}"/>
    <hyperlink ref="F1961" r:id="rId1916" xr:uid="{00000000-0004-0000-0200-00007B070000}"/>
    <hyperlink ref="S1962" r:id="rId1917" xr:uid="{00000000-0004-0000-0200-00007C070000}"/>
    <hyperlink ref="F1963" r:id="rId1918" xr:uid="{00000000-0004-0000-0200-00007D070000}"/>
    <hyperlink ref="S1963" r:id="rId1919" xr:uid="{00000000-0004-0000-0200-00007E070000}"/>
    <hyperlink ref="G1964" r:id="rId1920" xr:uid="{00000000-0004-0000-0200-00007F070000}"/>
    <hyperlink ref="F1965" r:id="rId1921" xr:uid="{00000000-0004-0000-0200-000080070000}"/>
    <hyperlink ref="F1967" r:id="rId1922" xr:uid="{00000000-0004-0000-0200-000081070000}"/>
    <hyperlink ref="F1968" r:id="rId1923" xr:uid="{00000000-0004-0000-0200-000082070000}"/>
    <hyperlink ref="F1969" r:id="rId1924" xr:uid="{00000000-0004-0000-0200-000083070000}"/>
    <hyperlink ref="S1969" r:id="rId1925" xr:uid="{00000000-0004-0000-0200-000084070000}"/>
    <hyperlink ref="F1970" r:id="rId1926" location=".XAd7EjZqA7s.twitter" xr:uid="{00000000-0004-0000-0200-000085070000}"/>
    <hyperlink ref="F1971" r:id="rId1927" xr:uid="{00000000-0004-0000-0200-000086070000}"/>
    <hyperlink ref="R1971" r:id="rId1928" xr:uid="{00000000-0004-0000-0200-000087070000}"/>
    <hyperlink ref="S1971" r:id="rId1929" xr:uid="{00000000-0004-0000-0200-000088070000}"/>
    <hyperlink ref="S1974" r:id="rId1930" xr:uid="{00000000-0004-0000-0200-000089070000}"/>
    <hyperlink ref="F1975" r:id="rId1931" xr:uid="{00000000-0004-0000-0200-00008A070000}"/>
    <hyperlink ref="S1975" r:id="rId1932" xr:uid="{00000000-0004-0000-0200-00008B070000}"/>
    <hyperlink ref="F1976" r:id="rId1933" xr:uid="{00000000-0004-0000-0200-00008C070000}"/>
    <hyperlink ref="G1976" r:id="rId1934" xr:uid="{00000000-0004-0000-0200-00008D070000}"/>
    <hyperlink ref="S1977" r:id="rId1935" xr:uid="{00000000-0004-0000-0200-00008E070000}"/>
    <hyperlink ref="S1978" r:id="rId1936" xr:uid="{00000000-0004-0000-0200-00008F070000}"/>
    <hyperlink ref="F1979" r:id="rId1937" xr:uid="{00000000-0004-0000-0200-000090070000}"/>
    <hyperlink ref="S1979" r:id="rId1938" xr:uid="{00000000-0004-0000-0200-000091070000}"/>
    <hyperlink ref="F1980" r:id="rId1939" xr:uid="{00000000-0004-0000-0200-000092070000}"/>
    <hyperlink ref="F1981" r:id="rId1940" xr:uid="{00000000-0004-0000-0200-000093070000}"/>
    <hyperlink ref="F1983" r:id="rId1941" xr:uid="{00000000-0004-0000-0200-000094070000}"/>
    <hyperlink ref="S1983" r:id="rId1942" xr:uid="{00000000-0004-0000-0200-000095070000}"/>
    <hyperlink ref="G1984" r:id="rId1943" xr:uid="{00000000-0004-0000-0200-000096070000}"/>
    <hyperlink ref="S1984" r:id="rId1944" xr:uid="{00000000-0004-0000-0200-000097070000}"/>
    <hyperlink ref="S1985" r:id="rId1945" xr:uid="{00000000-0004-0000-0200-000098070000}"/>
    <hyperlink ref="F1987" r:id="rId1946" xr:uid="{00000000-0004-0000-0200-000099070000}"/>
    <hyperlink ref="S1987" r:id="rId1947" xr:uid="{00000000-0004-0000-0200-00009A070000}"/>
    <hyperlink ref="S1991" r:id="rId1948" xr:uid="{00000000-0004-0000-0200-00009B070000}"/>
    <hyperlink ref="F1993" r:id="rId1949" xr:uid="{00000000-0004-0000-0200-00009C070000}"/>
    <hyperlink ref="F1994" r:id="rId1950" xr:uid="{00000000-0004-0000-0200-00009D070000}"/>
    <hyperlink ref="S1994" r:id="rId1951" xr:uid="{00000000-0004-0000-0200-00009E070000}"/>
    <hyperlink ref="F1995" r:id="rId1952" xr:uid="{00000000-0004-0000-0200-00009F070000}"/>
    <hyperlink ref="G1995" r:id="rId1953" xr:uid="{00000000-0004-0000-0200-0000A0070000}"/>
    <hyperlink ref="S1995" r:id="rId1954" xr:uid="{00000000-0004-0000-0200-0000A1070000}"/>
    <hyperlink ref="G1997" r:id="rId1955" xr:uid="{00000000-0004-0000-0200-0000A2070000}"/>
    <hyperlink ref="G1998" r:id="rId1956" xr:uid="{00000000-0004-0000-0200-0000A3070000}"/>
    <hyperlink ref="S2000" r:id="rId1957" xr:uid="{00000000-0004-0000-0200-0000A4070000}"/>
    <hyperlink ref="F2001" r:id="rId1958" location="ns_campaign=rrss-inducido&amp;ns_mchannel=abc-es&amp;ns_source=tw&amp;ns_linkname=noticia-video&amp;ns_fee=0" xr:uid="{00000000-0004-0000-0200-0000A5070000}"/>
    <hyperlink ref="S2002" r:id="rId1959" xr:uid="{00000000-0004-0000-0200-0000A6070000}"/>
    <hyperlink ref="F2003" r:id="rId1960" xr:uid="{00000000-0004-0000-0200-0000A7070000}"/>
    <hyperlink ref="F2005" r:id="rId1961" xr:uid="{00000000-0004-0000-0200-0000A8070000}"/>
    <hyperlink ref="S2006" r:id="rId1962" xr:uid="{00000000-0004-0000-0200-0000A9070000}"/>
    <hyperlink ref="S2007" r:id="rId1963" xr:uid="{00000000-0004-0000-0200-0000AA070000}"/>
    <hyperlink ref="F2008" r:id="rId1964" xr:uid="{00000000-0004-0000-0200-0000AB070000}"/>
    <hyperlink ref="F2009" r:id="rId1965" xr:uid="{00000000-0004-0000-0200-0000AC070000}"/>
    <hyperlink ref="G2009" r:id="rId1966" xr:uid="{00000000-0004-0000-0200-0000AD070000}"/>
    <hyperlink ref="G2010" r:id="rId1967" xr:uid="{00000000-0004-0000-0200-0000AE070000}"/>
    <hyperlink ref="F2011" r:id="rId1968" xr:uid="{00000000-0004-0000-0200-0000AF070000}"/>
    <hyperlink ref="S2012" r:id="rId1969" xr:uid="{00000000-0004-0000-0200-0000B0070000}"/>
    <hyperlink ref="S2013" r:id="rId1970" xr:uid="{00000000-0004-0000-0200-0000B1070000}"/>
    <hyperlink ref="F2014" r:id="rId1971" xr:uid="{00000000-0004-0000-0200-0000B2070000}"/>
    <hyperlink ref="G2015" r:id="rId1972" xr:uid="{00000000-0004-0000-0200-0000B3070000}"/>
    <hyperlink ref="S2016" r:id="rId1973" xr:uid="{00000000-0004-0000-0200-0000B4070000}"/>
    <hyperlink ref="F2017" r:id="rId1974" xr:uid="{00000000-0004-0000-0200-0000B5070000}"/>
    <hyperlink ref="G2017" r:id="rId1975" xr:uid="{00000000-0004-0000-0200-0000B6070000}"/>
    <hyperlink ref="S2018" r:id="rId1976" xr:uid="{00000000-0004-0000-0200-0000B7070000}"/>
    <hyperlink ref="F2019" r:id="rId1977" xr:uid="{00000000-0004-0000-0200-0000B8070000}"/>
    <hyperlink ref="S2020" r:id="rId1978" xr:uid="{00000000-0004-0000-0200-0000B9070000}"/>
    <hyperlink ref="G2022" r:id="rId1979" xr:uid="{00000000-0004-0000-0200-0000BA070000}"/>
    <hyperlink ref="S2024" r:id="rId1980" xr:uid="{00000000-0004-0000-0200-0000BB070000}"/>
    <hyperlink ref="S2025" r:id="rId1981" xr:uid="{00000000-0004-0000-0200-0000BC070000}"/>
    <hyperlink ref="F2026" r:id="rId1982" xr:uid="{00000000-0004-0000-0200-0000BD070000}"/>
    <hyperlink ref="S2026" r:id="rId1983" xr:uid="{00000000-0004-0000-0200-0000BE070000}"/>
    <hyperlink ref="F2027" r:id="rId1984" xr:uid="{00000000-0004-0000-0200-0000BF070000}"/>
    <hyperlink ref="G2028" r:id="rId1985" xr:uid="{00000000-0004-0000-0200-0000C0070000}"/>
    <hyperlink ref="S2029" r:id="rId1986" xr:uid="{00000000-0004-0000-0200-0000C1070000}"/>
    <hyperlink ref="S2030" r:id="rId1987" xr:uid="{00000000-0004-0000-0200-0000C2070000}"/>
    <hyperlink ref="G2031" r:id="rId1988" xr:uid="{00000000-0004-0000-0200-0000C3070000}"/>
    <hyperlink ref="G2032" r:id="rId1989" xr:uid="{00000000-0004-0000-0200-0000C4070000}"/>
    <hyperlink ref="S2036" r:id="rId1990" xr:uid="{00000000-0004-0000-0200-0000C5070000}"/>
    <hyperlink ref="G2039" r:id="rId1991" xr:uid="{00000000-0004-0000-0200-0000C6070000}"/>
    <hyperlink ref="S2039" r:id="rId1992" xr:uid="{00000000-0004-0000-0200-0000C7070000}"/>
    <hyperlink ref="S2041" r:id="rId1993" xr:uid="{00000000-0004-0000-0200-0000C8070000}"/>
    <hyperlink ref="S2042" r:id="rId1994" xr:uid="{00000000-0004-0000-0200-0000C9070000}"/>
    <hyperlink ref="S2043" r:id="rId1995" xr:uid="{00000000-0004-0000-0200-0000CA070000}"/>
    <hyperlink ref="S2044" r:id="rId1996" xr:uid="{00000000-0004-0000-0200-0000CB070000}"/>
    <hyperlink ref="F2045" r:id="rId1997" xr:uid="{00000000-0004-0000-0200-0000CC070000}"/>
    <hyperlink ref="F2046" r:id="rId1998" xr:uid="{00000000-0004-0000-0200-0000CD070000}"/>
    <hyperlink ref="G2046" r:id="rId1999" xr:uid="{00000000-0004-0000-0200-0000CE070000}"/>
    <hyperlink ref="S2046" r:id="rId2000" xr:uid="{00000000-0004-0000-0200-0000CF070000}"/>
    <hyperlink ref="F2047" r:id="rId2001" xr:uid="{00000000-0004-0000-0200-0000D0070000}"/>
    <hyperlink ref="G2048" r:id="rId2002" xr:uid="{00000000-0004-0000-0200-0000D1070000}"/>
    <hyperlink ref="S2048" r:id="rId2003" xr:uid="{00000000-0004-0000-0200-0000D2070000}"/>
    <hyperlink ref="G2049" r:id="rId2004" xr:uid="{00000000-0004-0000-0200-0000D3070000}"/>
    <hyperlink ref="F2050" r:id="rId2005" xr:uid="{00000000-0004-0000-0200-0000D4070000}"/>
    <hyperlink ref="F2052" r:id="rId2006" xr:uid="{00000000-0004-0000-0200-0000D5070000}"/>
    <hyperlink ref="S2052" r:id="rId2007" xr:uid="{00000000-0004-0000-0200-0000D6070000}"/>
    <hyperlink ref="F2055" r:id="rId2008" xr:uid="{00000000-0004-0000-0200-0000D7070000}"/>
    <hyperlink ref="G2055" r:id="rId2009" xr:uid="{00000000-0004-0000-0200-0000D8070000}"/>
    <hyperlink ref="F2056" r:id="rId2010" xr:uid="{00000000-0004-0000-0200-0000D9070000}"/>
    <hyperlink ref="G2056" r:id="rId2011" xr:uid="{00000000-0004-0000-0200-0000DA070000}"/>
    <hyperlink ref="S2056" r:id="rId2012" xr:uid="{00000000-0004-0000-0200-0000DB070000}"/>
    <hyperlink ref="F2058" r:id="rId2013" xr:uid="{00000000-0004-0000-0200-0000DC070000}"/>
    <hyperlink ref="G2058" r:id="rId2014" xr:uid="{00000000-0004-0000-0200-0000DD070000}"/>
    <hyperlink ref="F2059" r:id="rId2015" xr:uid="{00000000-0004-0000-0200-0000DE070000}"/>
    <hyperlink ref="G2059" r:id="rId2016" xr:uid="{00000000-0004-0000-0200-0000DF070000}"/>
    <hyperlink ref="G2060" r:id="rId2017" xr:uid="{00000000-0004-0000-0200-0000E0070000}"/>
    <hyperlink ref="F2061" r:id="rId2018" xr:uid="{00000000-0004-0000-0200-0000E1070000}"/>
    <hyperlink ref="G2061" r:id="rId2019" xr:uid="{00000000-0004-0000-0200-0000E2070000}"/>
    <hyperlink ref="F2062" r:id="rId2020" xr:uid="{00000000-0004-0000-0200-0000E3070000}"/>
    <hyperlink ref="F2063" r:id="rId2021" xr:uid="{00000000-0004-0000-0200-0000E4070000}"/>
    <hyperlink ref="G2064" r:id="rId2022" xr:uid="{00000000-0004-0000-0200-0000E5070000}"/>
    <hyperlink ref="F2065" r:id="rId2023" xr:uid="{00000000-0004-0000-0200-0000E6070000}"/>
    <hyperlink ref="F2067" r:id="rId2024" xr:uid="{00000000-0004-0000-0200-0000E7070000}"/>
    <hyperlink ref="F2068" r:id="rId2025" xr:uid="{00000000-0004-0000-0200-0000E8070000}"/>
    <hyperlink ref="S2069" r:id="rId2026" xr:uid="{00000000-0004-0000-0200-0000E9070000}"/>
    <hyperlink ref="G2070" r:id="rId2027" xr:uid="{00000000-0004-0000-0200-0000EA070000}"/>
    <hyperlink ref="F2071" r:id="rId2028" xr:uid="{00000000-0004-0000-0200-0000EB070000}"/>
    <hyperlink ref="S2072" r:id="rId2029" xr:uid="{00000000-0004-0000-0200-0000EC070000}"/>
    <hyperlink ref="F2073" r:id="rId2030" xr:uid="{00000000-0004-0000-0200-0000ED070000}"/>
    <hyperlink ref="G2073" r:id="rId2031" xr:uid="{00000000-0004-0000-0200-0000EE070000}"/>
    <hyperlink ref="S2074" r:id="rId2032" xr:uid="{00000000-0004-0000-0200-0000EF070000}"/>
    <hyperlink ref="F2075" r:id="rId2033" xr:uid="{00000000-0004-0000-0200-0000F0070000}"/>
    <hyperlink ref="G2075" r:id="rId2034" xr:uid="{00000000-0004-0000-0200-0000F1070000}"/>
    <hyperlink ref="G2076" r:id="rId2035" xr:uid="{00000000-0004-0000-0200-0000F2070000}"/>
    <hyperlink ref="F2077" r:id="rId2036" xr:uid="{00000000-0004-0000-0200-0000F3070000}"/>
    <hyperlink ref="G2077" r:id="rId2037" xr:uid="{00000000-0004-0000-0200-0000F4070000}"/>
    <hyperlink ref="F2078" r:id="rId2038" xr:uid="{00000000-0004-0000-0200-0000F5070000}"/>
    <hyperlink ref="F2079" r:id="rId2039" xr:uid="{00000000-0004-0000-0200-0000F6070000}"/>
    <hyperlink ref="F2082" r:id="rId2040" xr:uid="{00000000-0004-0000-0200-0000F7070000}"/>
    <hyperlink ref="F2083" r:id="rId2041" xr:uid="{00000000-0004-0000-0200-0000F8070000}"/>
    <hyperlink ref="G2083" r:id="rId2042" xr:uid="{00000000-0004-0000-0200-0000F9070000}"/>
    <hyperlink ref="F2086" r:id="rId2043" xr:uid="{00000000-0004-0000-0200-0000FA070000}"/>
    <hyperlink ref="S2086" r:id="rId2044" xr:uid="{00000000-0004-0000-0200-0000FB070000}"/>
    <hyperlink ref="F2088" r:id="rId2045" xr:uid="{00000000-0004-0000-0200-0000FC070000}"/>
    <hyperlink ref="F2092" r:id="rId2046" xr:uid="{00000000-0004-0000-0200-0000FD070000}"/>
    <hyperlink ref="G2095" r:id="rId2047" xr:uid="{00000000-0004-0000-0200-0000FE070000}"/>
    <hyperlink ref="G2097" r:id="rId2048" xr:uid="{00000000-0004-0000-0200-0000FF070000}"/>
    <hyperlink ref="S2097" r:id="rId2049" xr:uid="{00000000-0004-0000-0200-000000080000}"/>
    <hyperlink ref="F2098" r:id="rId2050" xr:uid="{00000000-0004-0000-0200-000001080000}"/>
    <hyperlink ref="F2099" r:id="rId2051" xr:uid="{00000000-0004-0000-0200-000002080000}"/>
    <hyperlink ref="G2099" r:id="rId2052" xr:uid="{00000000-0004-0000-0200-000003080000}"/>
    <hyperlink ref="G2100" r:id="rId2053" xr:uid="{00000000-0004-0000-0200-000004080000}"/>
    <hyperlink ref="G2102" r:id="rId2054" xr:uid="{00000000-0004-0000-0200-000005080000}"/>
    <hyperlink ref="F2103" r:id="rId2055" xr:uid="{00000000-0004-0000-0200-000006080000}"/>
    <hyperlink ref="F2104" r:id="rId2056" xr:uid="{00000000-0004-0000-0200-000007080000}"/>
    <hyperlink ref="G2104" r:id="rId2057" xr:uid="{00000000-0004-0000-0200-000008080000}"/>
    <hyperlink ref="S2104" r:id="rId2058" xr:uid="{00000000-0004-0000-0200-000009080000}"/>
    <hyperlink ref="G2105" r:id="rId2059" xr:uid="{00000000-0004-0000-0200-00000A080000}"/>
    <hyperlink ref="F2107" r:id="rId2060" xr:uid="{00000000-0004-0000-0200-00000B080000}"/>
    <hyperlink ref="S2107" r:id="rId2061" xr:uid="{00000000-0004-0000-0200-00000C080000}"/>
    <hyperlink ref="F2111" r:id="rId2062" xr:uid="{00000000-0004-0000-0200-00000D080000}"/>
    <hyperlink ref="S2112" r:id="rId2063" xr:uid="{00000000-0004-0000-0200-00000E080000}"/>
    <hyperlink ref="S2114" r:id="rId2064" xr:uid="{00000000-0004-0000-0200-00000F080000}"/>
    <hyperlink ref="F2116" r:id="rId2065" xr:uid="{00000000-0004-0000-0200-000010080000}"/>
    <hyperlink ref="G2116" r:id="rId2066" xr:uid="{00000000-0004-0000-0200-000011080000}"/>
    <hyperlink ref="F2120" r:id="rId2067" xr:uid="{00000000-0004-0000-0200-000012080000}"/>
    <hyperlink ref="G2121" r:id="rId2068" xr:uid="{00000000-0004-0000-0200-000013080000}"/>
    <hyperlink ref="F2122" r:id="rId2069" xr:uid="{00000000-0004-0000-0200-000014080000}"/>
    <hyperlink ref="F2123" r:id="rId2070" xr:uid="{00000000-0004-0000-0200-000015080000}"/>
    <hyperlink ref="F2124" r:id="rId2071" xr:uid="{00000000-0004-0000-0200-000016080000}"/>
    <hyperlink ref="S2124" r:id="rId2072" xr:uid="{00000000-0004-0000-0200-000017080000}"/>
    <hyperlink ref="F2126" r:id="rId2073" xr:uid="{00000000-0004-0000-0200-000018080000}"/>
    <hyperlink ref="F2131" r:id="rId2074" xr:uid="{00000000-0004-0000-0200-000019080000}"/>
    <hyperlink ref="S2133" r:id="rId2075" xr:uid="{00000000-0004-0000-0200-00001A080000}"/>
    <hyperlink ref="S2134" r:id="rId2076" xr:uid="{00000000-0004-0000-0200-00001B080000}"/>
    <hyperlink ref="S2135" r:id="rId2077" xr:uid="{00000000-0004-0000-0200-00001C080000}"/>
    <hyperlink ref="G2137" r:id="rId2078" xr:uid="{00000000-0004-0000-0200-00001D080000}"/>
    <hyperlink ref="G2140" r:id="rId2079" xr:uid="{00000000-0004-0000-0200-00001E080000}"/>
    <hyperlink ref="G2141" r:id="rId2080" xr:uid="{00000000-0004-0000-0200-00001F080000}"/>
    <hyperlink ref="G2142" r:id="rId2081" xr:uid="{00000000-0004-0000-0200-000020080000}"/>
    <hyperlink ref="F2143" r:id="rId2082" xr:uid="{00000000-0004-0000-0200-000021080000}"/>
    <hyperlink ref="G2143" r:id="rId2083" xr:uid="{00000000-0004-0000-0200-000022080000}"/>
    <hyperlink ref="F2145" r:id="rId2084" xr:uid="{00000000-0004-0000-0200-000023080000}"/>
    <hyperlink ref="F2146" r:id="rId2085" xr:uid="{00000000-0004-0000-0200-000024080000}"/>
    <hyperlink ref="G2147" r:id="rId2086" xr:uid="{00000000-0004-0000-0200-000025080000}"/>
    <hyperlink ref="S2147" r:id="rId2087" xr:uid="{00000000-0004-0000-0200-000026080000}"/>
    <hyperlink ref="C2149" r:id="rId2088" xr:uid="{00000000-0004-0000-0200-000027080000}"/>
    <hyperlink ref="G2149" r:id="rId2089" xr:uid="{00000000-0004-0000-0200-000028080000}"/>
    <hyperlink ref="S2149" r:id="rId2090" xr:uid="{00000000-0004-0000-0200-000029080000}"/>
    <hyperlink ref="G2152" r:id="rId2091" xr:uid="{00000000-0004-0000-0200-00002A080000}"/>
    <hyperlink ref="S2152" r:id="rId2092" xr:uid="{00000000-0004-0000-0200-00002B080000}"/>
    <hyperlink ref="F2153" r:id="rId2093" xr:uid="{00000000-0004-0000-0200-00002C080000}"/>
    <hyperlink ref="F2154" r:id="rId2094" xr:uid="{00000000-0004-0000-0200-00002D080000}"/>
    <hyperlink ref="S2155" r:id="rId2095" xr:uid="{00000000-0004-0000-0200-00002E080000}"/>
    <hyperlink ref="F2158" r:id="rId2096" xr:uid="{00000000-0004-0000-0200-00002F080000}"/>
    <hyperlink ref="S2160" r:id="rId2097" xr:uid="{00000000-0004-0000-0200-000030080000}"/>
    <hyperlink ref="G2161" r:id="rId2098" xr:uid="{00000000-0004-0000-0200-000031080000}"/>
    <hyperlink ref="S2161" r:id="rId2099" xr:uid="{00000000-0004-0000-0200-000032080000}"/>
    <hyperlink ref="G2163" r:id="rId2100" xr:uid="{00000000-0004-0000-0200-000033080000}"/>
    <hyperlink ref="S2163" r:id="rId2101" xr:uid="{00000000-0004-0000-0200-000034080000}"/>
    <hyperlink ref="G2164" r:id="rId2102" xr:uid="{00000000-0004-0000-0200-000035080000}"/>
    <hyperlink ref="S2164" r:id="rId2103" xr:uid="{00000000-0004-0000-0200-000036080000}"/>
    <hyperlink ref="G2165" r:id="rId2104" xr:uid="{00000000-0004-0000-0200-000037080000}"/>
    <hyperlink ref="G2166" r:id="rId2105" xr:uid="{00000000-0004-0000-0200-000038080000}"/>
    <hyperlink ref="S2166" r:id="rId2106" xr:uid="{00000000-0004-0000-0200-000039080000}"/>
    <hyperlink ref="G2167" r:id="rId2107" xr:uid="{00000000-0004-0000-0200-00003A080000}"/>
    <hyperlink ref="G2168" r:id="rId2108" xr:uid="{00000000-0004-0000-0200-00003B080000}"/>
    <hyperlink ref="S2169" r:id="rId2109" xr:uid="{00000000-0004-0000-0200-00003C080000}"/>
    <hyperlink ref="S2172" r:id="rId2110" xr:uid="{00000000-0004-0000-0200-00003D080000}"/>
    <hyperlink ref="S2173" r:id="rId2111" xr:uid="{00000000-0004-0000-0200-00003E080000}"/>
    <hyperlink ref="S2174" r:id="rId2112" xr:uid="{00000000-0004-0000-0200-00003F080000}"/>
    <hyperlink ref="G2175" r:id="rId2113" xr:uid="{00000000-0004-0000-0200-000040080000}"/>
    <hyperlink ref="S2175" r:id="rId2114" xr:uid="{00000000-0004-0000-0200-000041080000}"/>
    <hyperlink ref="S2176" r:id="rId2115" xr:uid="{00000000-0004-0000-0200-000042080000}"/>
    <hyperlink ref="F2177" r:id="rId2116" xr:uid="{00000000-0004-0000-0200-000043080000}"/>
    <hyperlink ref="S2177" r:id="rId2117" xr:uid="{00000000-0004-0000-0200-000044080000}"/>
    <hyperlink ref="G2179" r:id="rId2118" xr:uid="{00000000-0004-0000-0200-000045080000}"/>
    <hyperlink ref="F2180" r:id="rId2119" xr:uid="{00000000-0004-0000-0200-000046080000}"/>
    <hyperlink ref="G2180" r:id="rId2120" xr:uid="{00000000-0004-0000-0200-000047080000}"/>
    <hyperlink ref="F2181" r:id="rId2121" xr:uid="{00000000-0004-0000-0200-000048080000}"/>
    <hyperlink ref="G2182" r:id="rId2122" xr:uid="{00000000-0004-0000-0200-000049080000}"/>
    <hyperlink ref="F2183" r:id="rId2123" xr:uid="{00000000-0004-0000-0200-00004A080000}"/>
    <hyperlink ref="S2183" r:id="rId2124" xr:uid="{00000000-0004-0000-0200-00004B080000}"/>
    <hyperlink ref="G2184" r:id="rId2125" xr:uid="{00000000-0004-0000-0200-00004C080000}"/>
    <hyperlink ref="F2185" r:id="rId2126" xr:uid="{00000000-0004-0000-0200-00004D080000}"/>
    <hyperlink ref="F2187" r:id="rId2127" xr:uid="{00000000-0004-0000-0200-00004E080000}"/>
    <hyperlink ref="S2187" r:id="rId2128" xr:uid="{00000000-0004-0000-0200-00004F080000}"/>
    <hyperlink ref="G2189" r:id="rId2129" xr:uid="{00000000-0004-0000-0200-000050080000}"/>
    <hyperlink ref="F2191" r:id="rId2130" xr:uid="{00000000-0004-0000-0200-000051080000}"/>
    <hyperlink ref="S2192" r:id="rId2131" xr:uid="{00000000-0004-0000-0200-000052080000}"/>
    <hyperlink ref="G2195" r:id="rId2132" xr:uid="{00000000-0004-0000-0200-000053080000}"/>
    <hyperlink ref="S2195" r:id="rId2133" xr:uid="{00000000-0004-0000-0200-000054080000}"/>
    <hyperlink ref="F2196" r:id="rId2134" xr:uid="{00000000-0004-0000-0200-000055080000}"/>
    <hyperlink ref="G2196" r:id="rId2135" xr:uid="{00000000-0004-0000-0200-000056080000}"/>
    <hyperlink ref="S2197" r:id="rId2136" xr:uid="{00000000-0004-0000-0200-000057080000}"/>
    <hyperlink ref="S2200" r:id="rId2137" xr:uid="{00000000-0004-0000-0200-000058080000}"/>
    <hyperlink ref="F2202" r:id="rId2138" xr:uid="{00000000-0004-0000-0200-000059080000}"/>
    <hyperlink ref="S2203" r:id="rId2139" xr:uid="{00000000-0004-0000-0200-00005A080000}"/>
    <hyperlink ref="G2204" r:id="rId2140" xr:uid="{00000000-0004-0000-0200-00005B080000}"/>
    <hyperlink ref="G2207" r:id="rId2141" xr:uid="{00000000-0004-0000-0200-00005C080000}"/>
    <hyperlink ref="F2208" r:id="rId2142" xr:uid="{00000000-0004-0000-0200-00005D080000}"/>
    <hyperlink ref="F2209" r:id="rId2143" xr:uid="{00000000-0004-0000-0200-00005E080000}"/>
    <hyperlink ref="G2209" r:id="rId2144" xr:uid="{00000000-0004-0000-0200-00005F080000}"/>
    <hyperlink ref="G2210" r:id="rId2145" xr:uid="{00000000-0004-0000-0200-000060080000}"/>
    <hyperlink ref="S2210" r:id="rId2146" xr:uid="{00000000-0004-0000-0200-000061080000}"/>
    <hyperlink ref="F2212" r:id="rId2147" xr:uid="{00000000-0004-0000-0200-000062080000}"/>
    <hyperlink ref="S2212" r:id="rId2148" xr:uid="{00000000-0004-0000-0200-000063080000}"/>
    <hyperlink ref="F2215" r:id="rId2149" xr:uid="{00000000-0004-0000-0200-000064080000}"/>
    <hyperlink ref="F2216" r:id="rId2150" xr:uid="{00000000-0004-0000-0200-000065080000}"/>
    <hyperlink ref="G2216" r:id="rId2151" xr:uid="{00000000-0004-0000-0200-000066080000}"/>
    <hyperlink ref="S2216" r:id="rId2152" xr:uid="{00000000-0004-0000-0200-000067080000}"/>
    <hyperlink ref="G2217" r:id="rId2153" xr:uid="{00000000-0004-0000-0200-000068080000}"/>
    <hyperlink ref="F2218" r:id="rId2154" xr:uid="{00000000-0004-0000-0200-000069080000}"/>
    <hyperlink ref="F2219" r:id="rId2155" xr:uid="{00000000-0004-0000-0200-00006A080000}"/>
    <hyperlink ref="F2220" r:id="rId2156" xr:uid="{00000000-0004-0000-0200-00006B080000}"/>
    <hyperlink ref="S2220" r:id="rId2157" xr:uid="{00000000-0004-0000-0200-00006C080000}"/>
    <hyperlink ref="G2221" r:id="rId2158" xr:uid="{00000000-0004-0000-0200-00006D080000}"/>
    <hyperlink ref="S2221" r:id="rId2159" xr:uid="{00000000-0004-0000-0200-00006E080000}"/>
    <hyperlink ref="S2223" r:id="rId2160" xr:uid="{00000000-0004-0000-0200-00006F080000}"/>
    <hyperlink ref="F2224" r:id="rId2161" xr:uid="{00000000-0004-0000-0200-000070080000}"/>
    <hyperlink ref="G2224" r:id="rId2162" xr:uid="{00000000-0004-0000-0200-000071080000}"/>
    <hyperlink ref="S2225" r:id="rId2163" xr:uid="{00000000-0004-0000-0200-000072080000}"/>
    <hyperlink ref="G2226" r:id="rId2164" xr:uid="{00000000-0004-0000-0200-000073080000}"/>
    <hyperlink ref="F2227" r:id="rId2165" xr:uid="{00000000-0004-0000-0200-000074080000}"/>
    <hyperlink ref="G2227" r:id="rId2166" xr:uid="{00000000-0004-0000-0200-000075080000}"/>
    <hyperlink ref="G2228" r:id="rId2167" xr:uid="{00000000-0004-0000-0200-000076080000}"/>
    <hyperlink ref="S2229" r:id="rId2168" xr:uid="{00000000-0004-0000-0200-000077080000}"/>
    <hyperlink ref="F2231" r:id="rId2169" xr:uid="{00000000-0004-0000-0200-000078080000}"/>
    <hyperlink ref="F2232" r:id="rId2170" xr:uid="{00000000-0004-0000-0200-000079080000}"/>
    <hyperlink ref="S2232" r:id="rId2171" xr:uid="{00000000-0004-0000-0200-00007A080000}"/>
    <hyperlink ref="F2234" r:id="rId2172" xr:uid="{00000000-0004-0000-0200-00007B080000}"/>
    <hyperlink ref="F2235" r:id="rId2173" xr:uid="{00000000-0004-0000-0200-00007C080000}"/>
    <hyperlink ref="F2236" r:id="rId2174" location="ns_campaign=amp-rrss-inducido&amp;ns_mchannel=abc-es&amp;ns_source=tw&amp;ns_linkname=noticia.video&amp;ns_fee=0" xr:uid="{00000000-0004-0000-0200-00007D080000}"/>
    <hyperlink ref="S2236" r:id="rId2175" xr:uid="{00000000-0004-0000-0200-00007E080000}"/>
    <hyperlink ref="F2237" r:id="rId2176" xr:uid="{00000000-0004-0000-0200-00007F080000}"/>
    <hyperlink ref="F2238" r:id="rId2177" xr:uid="{00000000-0004-0000-0200-000080080000}"/>
    <hyperlink ref="G2239" r:id="rId2178" xr:uid="{00000000-0004-0000-0200-000081080000}"/>
    <hyperlink ref="G2241" r:id="rId2179" xr:uid="{00000000-0004-0000-0200-000082080000}"/>
    <hyperlink ref="G2242" r:id="rId2180" xr:uid="{00000000-0004-0000-0200-000083080000}"/>
    <hyperlink ref="S2245" r:id="rId2181" xr:uid="{00000000-0004-0000-0200-000084080000}"/>
    <hyperlink ref="G2247" r:id="rId2182" xr:uid="{00000000-0004-0000-0200-000085080000}"/>
    <hyperlink ref="G2249" r:id="rId2183" xr:uid="{00000000-0004-0000-0200-000086080000}"/>
    <hyperlink ref="S2249" r:id="rId2184" xr:uid="{00000000-0004-0000-0200-000087080000}"/>
    <hyperlink ref="F2250" r:id="rId2185" xr:uid="{00000000-0004-0000-0200-000088080000}"/>
    <hyperlink ref="G2253" r:id="rId2186" xr:uid="{00000000-0004-0000-0200-000089080000}"/>
    <hyperlink ref="F2254" r:id="rId2187" xr:uid="{00000000-0004-0000-0200-00008A080000}"/>
    <hyperlink ref="S2256" r:id="rId2188" xr:uid="{00000000-0004-0000-0200-00008B080000}"/>
    <hyperlink ref="F2257" r:id="rId2189" xr:uid="{00000000-0004-0000-0200-00008C080000}"/>
    <hyperlink ref="F2260" r:id="rId2190" xr:uid="{00000000-0004-0000-0200-00008D080000}"/>
    <hyperlink ref="S2261" r:id="rId2191" xr:uid="{00000000-0004-0000-0200-00008E080000}"/>
    <hyperlink ref="F2262" r:id="rId2192" xr:uid="{00000000-0004-0000-0200-00008F080000}"/>
    <hyperlink ref="F2263" r:id="rId2193" xr:uid="{00000000-0004-0000-0200-000090080000}"/>
    <hyperlink ref="S2263" r:id="rId2194" xr:uid="{00000000-0004-0000-0200-000091080000}"/>
    <hyperlink ref="F2264" r:id="rId2195" xr:uid="{00000000-0004-0000-0200-000092080000}"/>
    <hyperlink ref="S2264" r:id="rId2196" xr:uid="{00000000-0004-0000-0200-000093080000}"/>
    <hyperlink ref="S2265" r:id="rId2197" xr:uid="{00000000-0004-0000-0200-000094080000}"/>
    <hyperlink ref="S2266" r:id="rId2198" xr:uid="{00000000-0004-0000-0200-000095080000}"/>
    <hyperlink ref="S2267" r:id="rId2199" xr:uid="{00000000-0004-0000-0200-000096080000}"/>
    <hyperlink ref="S2268" r:id="rId2200" xr:uid="{00000000-0004-0000-0200-000097080000}"/>
    <hyperlink ref="F2269" r:id="rId2201" xr:uid="{00000000-0004-0000-0200-000098080000}"/>
    <hyperlink ref="F2270" r:id="rId2202" xr:uid="{00000000-0004-0000-0200-000099080000}"/>
    <hyperlink ref="G2270" r:id="rId2203" xr:uid="{00000000-0004-0000-0200-00009A080000}"/>
    <hyperlink ref="S2270" r:id="rId2204" xr:uid="{00000000-0004-0000-0200-00009B080000}"/>
    <hyperlink ref="G2271" r:id="rId2205" xr:uid="{00000000-0004-0000-0200-00009C080000}"/>
    <hyperlink ref="S2271" r:id="rId2206" xr:uid="{00000000-0004-0000-0200-00009D080000}"/>
    <hyperlink ref="F2272" r:id="rId2207" xr:uid="{00000000-0004-0000-0200-00009E080000}"/>
    <hyperlink ref="F2273" r:id="rId2208" xr:uid="{00000000-0004-0000-0200-00009F080000}"/>
    <hyperlink ref="G2273" r:id="rId2209" xr:uid="{00000000-0004-0000-0200-0000A0080000}"/>
    <hyperlink ref="F2274" r:id="rId2210" xr:uid="{00000000-0004-0000-0200-0000A1080000}"/>
    <hyperlink ref="F2275" r:id="rId2211" xr:uid="{00000000-0004-0000-0200-0000A2080000}"/>
    <hyperlink ref="F2276" r:id="rId2212" xr:uid="{00000000-0004-0000-0200-0000A3080000}"/>
    <hyperlink ref="S2279" r:id="rId2213" xr:uid="{00000000-0004-0000-0200-0000A4080000}"/>
    <hyperlink ref="G2280" r:id="rId2214" xr:uid="{00000000-0004-0000-0200-0000A5080000}"/>
    <hyperlink ref="G2281" r:id="rId2215" xr:uid="{00000000-0004-0000-0200-0000A6080000}"/>
    <hyperlink ref="S2283" r:id="rId2216" xr:uid="{00000000-0004-0000-0200-0000A7080000}"/>
    <hyperlink ref="G2284" r:id="rId2217" xr:uid="{00000000-0004-0000-0200-0000A8080000}"/>
    <hyperlink ref="F2285" r:id="rId2218" xr:uid="{00000000-0004-0000-0200-0000A9080000}"/>
    <hyperlink ref="F2287" r:id="rId2219" xr:uid="{00000000-0004-0000-0200-0000AA080000}"/>
    <hyperlink ref="S2287" r:id="rId2220" xr:uid="{00000000-0004-0000-0200-0000AB080000}"/>
    <hyperlink ref="G2289" r:id="rId2221" xr:uid="{00000000-0004-0000-0200-0000AC080000}"/>
    <hyperlink ref="G2290" r:id="rId2222" xr:uid="{00000000-0004-0000-0200-0000AD080000}"/>
    <hyperlink ref="F2292" r:id="rId2223" xr:uid="{00000000-0004-0000-0200-0000AE080000}"/>
    <hyperlink ref="F2294" r:id="rId2224" xr:uid="{00000000-0004-0000-0200-0000AF080000}"/>
    <hyperlink ref="F2295" r:id="rId2225" xr:uid="{00000000-0004-0000-0200-0000B0080000}"/>
    <hyperlink ref="S2295" r:id="rId2226" xr:uid="{00000000-0004-0000-0200-0000B1080000}"/>
    <hyperlink ref="G2298" r:id="rId2227" xr:uid="{00000000-0004-0000-0200-0000B2080000}"/>
    <hyperlink ref="F2299" r:id="rId2228" xr:uid="{00000000-0004-0000-0200-0000B3080000}"/>
    <hyperlink ref="G2300" r:id="rId2229" xr:uid="{00000000-0004-0000-0200-0000B4080000}"/>
    <hyperlink ref="F2301" r:id="rId2230" xr:uid="{00000000-0004-0000-0200-0000B5080000}"/>
    <hyperlink ref="S2301" r:id="rId2231" xr:uid="{00000000-0004-0000-0200-0000B6080000}"/>
    <hyperlink ref="F2302" r:id="rId2232" xr:uid="{00000000-0004-0000-0200-0000B7080000}"/>
    <hyperlink ref="S2304" r:id="rId2233" xr:uid="{00000000-0004-0000-0200-0000B8080000}"/>
    <hyperlink ref="S2305" r:id="rId2234" xr:uid="{00000000-0004-0000-0200-0000B9080000}"/>
    <hyperlink ref="G2306" r:id="rId2235" xr:uid="{00000000-0004-0000-0200-0000BA080000}"/>
    <hyperlink ref="S2307" r:id="rId2236" xr:uid="{00000000-0004-0000-0200-0000BB080000}"/>
    <hyperlink ref="S2308" r:id="rId2237" xr:uid="{00000000-0004-0000-0200-0000BC080000}"/>
    <hyperlink ref="G2310" r:id="rId2238" xr:uid="{00000000-0004-0000-0200-0000BD080000}"/>
    <hyperlink ref="S2311" r:id="rId2239" xr:uid="{00000000-0004-0000-0200-0000BE080000}"/>
    <hyperlink ref="S2312" r:id="rId2240" xr:uid="{00000000-0004-0000-0200-0000BF080000}"/>
    <hyperlink ref="F2313" r:id="rId2241" xr:uid="{00000000-0004-0000-0200-0000C0080000}"/>
    <hyperlink ref="S2315" r:id="rId2242" xr:uid="{00000000-0004-0000-0200-0000C1080000}"/>
    <hyperlink ref="G2316" r:id="rId2243" xr:uid="{00000000-0004-0000-0200-0000C2080000}"/>
    <hyperlink ref="S2316" r:id="rId2244" xr:uid="{00000000-0004-0000-0200-0000C3080000}"/>
    <hyperlink ref="F2317" r:id="rId2245" xr:uid="{00000000-0004-0000-0200-0000C4080000}"/>
    <hyperlink ref="G2317" r:id="rId2246" xr:uid="{00000000-0004-0000-0200-0000C5080000}"/>
    <hyperlink ref="S2317" r:id="rId2247" xr:uid="{00000000-0004-0000-0200-0000C6080000}"/>
    <hyperlink ref="G2319" r:id="rId2248" xr:uid="{00000000-0004-0000-0200-0000C7080000}"/>
    <hyperlink ref="F2321" r:id="rId2249" xr:uid="{00000000-0004-0000-0200-0000C8080000}"/>
    <hyperlink ref="F2322" r:id="rId2250" xr:uid="{00000000-0004-0000-0200-0000C9080000}"/>
    <hyperlink ref="G2323" r:id="rId2251" xr:uid="{00000000-0004-0000-0200-0000CA080000}"/>
    <hyperlink ref="F2328" r:id="rId2252" xr:uid="{00000000-0004-0000-0200-0000CB080000}"/>
    <hyperlink ref="F2329" r:id="rId2253" xr:uid="{00000000-0004-0000-0200-0000CC080000}"/>
    <hyperlink ref="G2330" r:id="rId2254" xr:uid="{00000000-0004-0000-0200-0000CD080000}"/>
    <hyperlink ref="S2331" r:id="rId2255" xr:uid="{00000000-0004-0000-0200-0000CE080000}"/>
    <hyperlink ref="G2332" r:id="rId2256" xr:uid="{00000000-0004-0000-0200-0000CF080000}"/>
    <hyperlink ref="F2334" r:id="rId2257" xr:uid="{00000000-0004-0000-0200-0000D0080000}"/>
    <hyperlink ref="F2336" r:id="rId2258" xr:uid="{00000000-0004-0000-0200-0000D1080000}"/>
    <hyperlink ref="F2337" r:id="rId2259" xr:uid="{00000000-0004-0000-0200-0000D2080000}"/>
    <hyperlink ref="F2338" r:id="rId2260" xr:uid="{00000000-0004-0000-0200-0000D3080000}"/>
    <hyperlink ref="S2338" r:id="rId2261" xr:uid="{00000000-0004-0000-0200-0000D4080000}"/>
    <hyperlink ref="F2339" r:id="rId2262" xr:uid="{00000000-0004-0000-0200-0000D5080000}"/>
    <hyperlink ref="F2340" r:id="rId2263" xr:uid="{00000000-0004-0000-0200-0000D6080000}"/>
    <hyperlink ref="S2341" r:id="rId2264" xr:uid="{00000000-0004-0000-0200-0000D7080000}"/>
    <hyperlink ref="G2342" r:id="rId2265" xr:uid="{00000000-0004-0000-0200-0000D8080000}"/>
    <hyperlink ref="F2343" r:id="rId2266" xr:uid="{00000000-0004-0000-0200-0000D9080000}"/>
    <hyperlink ref="G2343" r:id="rId2267" xr:uid="{00000000-0004-0000-0200-0000DA080000}"/>
    <hyperlink ref="S2343" r:id="rId2268" xr:uid="{00000000-0004-0000-0200-0000DB080000}"/>
    <hyperlink ref="G2344" r:id="rId2269" xr:uid="{00000000-0004-0000-0200-0000DC080000}"/>
    <hyperlink ref="S2346" r:id="rId2270" xr:uid="{00000000-0004-0000-0200-0000DD080000}"/>
    <hyperlink ref="S2347" r:id="rId2271" xr:uid="{00000000-0004-0000-0200-0000DE080000}"/>
    <hyperlink ref="F2350" r:id="rId2272" xr:uid="{00000000-0004-0000-0200-0000DF080000}"/>
    <hyperlink ref="S2350" r:id="rId2273" xr:uid="{00000000-0004-0000-0200-0000E0080000}"/>
    <hyperlink ref="F2351" r:id="rId2274" xr:uid="{00000000-0004-0000-0200-0000E1080000}"/>
    <hyperlink ref="F2352" r:id="rId2275" xr:uid="{00000000-0004-0000-0200-0000E2080000}"/>
    <hyperlink ref="G2352" r:id="rId2276" xr:uid="{00000000-0004-0000-0200-0000E3080000}"/>
    <hyperlink ref="S2352" r:id="rId2277" xr:uid="{00000000-0004-0000-0200-0000E4080000}"/>
    <hyperlink ref="S2353" r:id="rId2278" xr:uid="{00000000-0004-0000-0200-0000E5080000}"/>
    <hyperlink ref="F2357" r:id="rId2279" xr:uid="{00000000-0004-0000-0200-0000E6080000}"/>
    <hyperlink ref="F2358" r:id="rId2280" xr:uid="{00000000-0004-0000-0200-0000E7080000}"/>
    <hyperlink ref="F2359" r:id="rId2281" xr:uid="{00000000-0004-0000-0200-0000E8080000}"/>
    <hyperlink ref="F2360" r:id="rId2282" xr:uid="{00000000-0004-0000-0200-0000E9080000}"/>
    <hyperlink ref="G2361" r:id="rId2283" xr:uid="{00000000-0004-0000-0200-0000EA080000}"/>
    <hyperlink ref="G2362" r:id="rId2284" xr:uid="{00000000-0004-0000-0200-0000EB080000}"/>
    <hyperlink ref="S2362" r:id="rId2285" xr:uid="{00000000-0004-0000-0200-0000EC080000}"/>
    <hyperlink ref="G2363" r:id="rId2286" xr:uid="{00000000-0004-0000-0200-0000ED080000}"/>
    <hyperlink ref="G2367" r:id="rId2287" xr:uid="{00000000-0004-0000-0200-0000EE080000}"/>
    <hyperlink ref="S2367" r:id="rId2288" xr:uid="{00000000-0004-0000-0200-0000EF080000}"/>
    <hyperlink ref="F2368" r:id="rId2289" xr:uid="{00000000-0004-0000-0200-0000F0080000}"/>
    <hyperlink ref="F2369" r:id="rId2290" xr:uid="{00000000-0004-0000-0200-0000F1080000}"/>
    <hyperlink ref="F2370" r:id="rId2291" xr:uid="{00000000-0004-0000-0200-0000F2080000}"/>
    <hyperlink ref="F2371" r:id="rId2292" xr:uid="{00000000-0004-0000-0200-0000F3080000}"/>
    <hyperlink ref="F2372" r:id="rId2293" xr:uid="{00000000-0004-0000-0200-0000F4080000}"/>
    <hyperlink ref="G2372" r:id="rId2294" xr:uid="{00000000-0004-0000-0200-0000F5080000}"/>
    <hyperlink ref="S2373" r:id="rId2295" xr:uid="{00000000-0004-0000-0200-0000F6080000}"/>
    <hyperlink ref="F2375" r:id="rId2296" xr:uid="{00000000-0004-0000-0200-0000F7080000}"/>
    <hyperlink ref="F2376" r:id="rId2297" xr:uid="{00000000-0004-0000-0200-0000F8080000}"/>
    <hyperlink ref="G2376" r:id="rId2298" xr:uid="{00000000-0004-0000-0200-0000F9080000}"/>
    <hyperlink ref="S2377" r:id="rId2299" xr:uid="{00000000-0004-0000-0200-0000FA080000}"/>
    <hyperlink ref="F2379" r:id="rId2300" xr:uid="{00000000-0004-0000-0200-0000FB080000}"/>
    <hyperlink ref="S2381" r:id="rId2301" xr:uid="{00000000-0004-0000-0200-0000FC080000}"/>
    <hyperlink ref="S2382" r:id="rId2302" xr:uid="{00000000-0004-0000-0200-0000FD080000}"/>
    <hyperlink ref="F2383" r:id="rId2303" xr:uid="{00000000-0004-0000-0200-0000FE080000}"/>
    <hyperlink ref="F2384" r:id="rId2304" xr:uid="{00000000-0004-0000-0200-0000FF080000}"/>
    <hyperlink ref="S2384" r:id="rId2305" xr:uid="{00000000-0004-0000-0200-000000090000}"/>
    <hyperlink ref="F2385" r:id="rId2306" xr:uid="{00000000-0004-0000-0200-000001090000}"/>
    <hyperlink ref="S2385" r:id="rId2307" xr:uid="{00000000-0004-0000-0200-000002090000}"/>
    <hyperlink ref="F2388" r:id="rId2308" xr:uid="{00000000-0004-0000-0200-000003090000}"/>
    <hyperlink ref="G2389" r:id="rId2309" xr:uid="{00000000-0004-0000-0200-000004090000}"/>
    <hyperlink ref="F2394" r:id="rId2310" xr:uid="{00000000-0004-0000-0200-000005090000}"/>
    <hyperlink ref="S2395" r:id="rId2311" xr:uid="{00000000-0004-0000-0200-000006090000}"/>
    <hyperlink ref="G2397" r:id="rId2312" xr:uid="{00000000-0004-0000-0200-000007090000}"/>
    <hyperlink ref="G2399" r:id="rId2313" xr:uid="{00000000-0004-0000-0200-000008090000}"/>
    <hyperlink ref="S2400" r:id="rId2314" xr:uid="{00000000-0004-0000-0200-000009090000}"/>
    <hyperlink ref="F2401" r:id="rId2315" xr:uid="{00000000-0004-0000-0200-00000A090000}"/>
    <hyperlink ref="S2402" r:id="rId2316" xr:uid="{00000000-0004-0000-0200-00000B090000}"/>
    <hyperlink ref="F2403" r:id="rId2317" xr:uid="{00000000-0004-0000-0200-00000C090000}"/>
    <hyperlink ref="G2403" r:id="rId2318" xr:uid="{00000000-0004-0000-0200-00000D090000}"/>
    <hyperlink ref="F2405" r:id="rId2319" xr:uid="{00000000-0004-0000-0200-00000E090000}"/>
    <hyperlink ref="S2408" r:id="rId2320" xr:uid="{00000000-0004-0000-0200-00000F090000}"/>
    <hyperlink ref="F2410" r:id="rId2321" xr:uid="{00000000-0004-0000-0200-000010090000}"/>
    <hyperlink ref="F2411" r:id="rId2322" xr:uid="{00000000-0004-0000-0200-000011090000}"/>
    <hyperlink ref="S2411" r:id="rId2323" xr:uid="{00000000-0004-0000-0200-000012090000}"/>
    <hyperlink ref="F2412" r:id="rId2324" xr:uid="{00000000-0004-0000-0200-000013090000}"/>
    <hyperlink ref="F2414" r:id="rId2325" xr:uid="{00000000-0004-0000-0200-000014090000}"/>
    <hyperlink ref="G2414" r:id="rId2326" xr:uid="{00000000-0004-0000-0200-000015090000}"/>
    <hyperlink ref="F2415" r:id="rId2327" xr:uid="{00000000-0004-0000-0200-000016090000}"/>
    <hyperlink ref="S2416" r:id="rId2328" xr:uid="{00000000-0004-0000-0200-000017090000}"/>
    <hyperlink ref="F2418" r:id="rId2329" xr:uid="{00000000-0004-0000-0200-000018090000}"/>
    <hyperlink ref="G2418" r:id="rId2330" xr:uid="{00000000-0004-0000-0200-000019090000}"/>
    <hyperlink ref="F2419" r:id="rId2331" xr:uid="{00000000-0004-0000-0200-00001A090000}"/>
    <hyperlink ref="G2419" r:id="rId2332" xr:uid="{00000000-0004-0000-0200-00001B090000}"/>
    <hyperlink ref="S2420" r:id="rId2333" xr:uid="{00000000-0004-0000-0200-00001C090000}"/>
    <hyperlink ref="S2421" r:id="rId2334" xr:uid="{00000000-0004-0000-0200-00001D090000}"/>
    <hyperlink ref="G2422" r:id="rId2335" xr:uid="{00000000-0004-0000-0200-00001E090000}"/>
    <hyperlink ref="S2422" r:id="rId2336" xr:uid="{00000000-0004-0000-0200-00001F090000}"/>
    <hyperlink ref="F2423" r:id="rId2337" xr:uid="{00000000-0004-0000-0200-000020090000}"/>
    <hyperlink ref="S2425" r:id="rId2338" xr:uid="{00000000-0004-0000-0200-000021090000}"/>
    <hyperlink ref="F2427" r:id="rId2339" xr:uid="{00000000-0004-0000-0200-000022090000}"/>
    <hyperlink ref="S2427" r:id="rId2340" xr:uid="{00000000-0004-0000-0200-000023090000}"/>
    <hyperlink ref="F2428" r:id="rId2341" xr:uid="{00000000-0004-0000-0200-000024090000}"/>
    <hyperlink ref="G2429" r:id="rId2342" xr:uid="{00000000-0004-0000-0200-000025090000}"/>
    <hyperlink ref="G2430" r:id="rId2343" xr:uid="{00000000-0004-0000-0200-000026090000}"/>
    <hyperlink ref="S2430" r:id="rId2344" xr:uid="{00000000-0004-0000-0200-000027090000}"/>
    <hyperlink ref="G2431" r:id="rId2345" xr:uid="{00000000-0004-0000-0200-000028090000}"/>
    <hyperlink ref="F2432" r:id="rId2346" xr:uid="{00000000-0004-0000-0200-000029090000}"/>
    <hyperlink ref="S2432" r:id="rId2347" xr:uid="{00000000-0004-0000-0200-00002A090000}"/>
    <hyperlink ref="G2433" r:id="rId2348" xr:uid="{00000000-0004-0000-0200-00002B090000}"/>
    <hyperlink ref="F2435" r:id="rId2349" xr:uid="{00000000-0004-0000-0200-00002C090000}"/>
    <hyperlink ref="G2435" r:id="rId2350" xr:uid="{00000000-0004-0000-0200-00002D090000}"/>
    <hyperlink ref="S2435" r:id="rId2351" xr:uid="{00000000-0004-0000-0200-00002E090000}"/>
    <hyperlink ref="F2436" r:id="rId2352" xr:uid="{00000000-0004-0000-0200-00002F090000}"/>
    <hyperlink ref="G2436" r:id="rId2353" xr:uid="{00000000-0004-0000-0200-000030090000}"/>
    <hyperlink ref="S2436" r:id="rId2354" xr:uid="{00000000-0004-0000-0200-000031090000}"/>
    <hyperlink ref="F2437" r:id="rId2355" xr:uid="{00000000-0004-0000-0200-000032090000}"/>
    <hyperlink ref="G2437" r:id="rId2356" xr:uid="{00000000-0004-0000-0200-000033090000}"/>
    <hyperlink ref="S2437" r:id="rId2357" xr:uid="{00000000-0004-0000-0200-000034090000}"/>
    <hyperlink ref="F2438" r:id="rId2358" xr:uid="{00000000-0004-0000-0200-000035090000}"/>
    <hyperlink ref="G2438" r:id="rId2359" xr:uid="{00000000-0004-0000-0200-000036090000}"/>
    <hyperlink ref="S2438" r:id="rId2360" xr:uid="{00000000-0004-0000-0200-000037090000}"/>
    <hyperlink ref="F2439" r:id="rId2361" xr:uid="{00000000-0004-0000-0200-000038090000}"/>
    <hyperlink ref="G2439" r:id="rId2362" xr:uid="{00000000-0004-0000-0200-000039090000}"/>
    <hyperlink ref="S2439" r:id="rId2363" xr:uid="{00000000-0004-0000-0200-00003A090000}"/>
    <hyperlink ref="F2440" r:id="rId2364" xr:uid="{00000000-0004-0000-0200-00003B090000}"/>
    <hyperlink ref="G2440" r:id="rId2365" xr:uid="{00000000-0004-0000-0200-00003C090000}"/>
    <hyperlink ref="S2440" r:id="rId2366" xr:uid="{00000000-0004-0000-0200-00003D090000}"/>
    <hyperlink ref="F2441" r:id="rId2367" xr:uid="{00000000-0004-0000-0200-00003E090000}"/>
    <hyperlink ref="G2441" r:id="rId2368" xr:uid="{00000000-0004-0000-0200-00003F090000}"/>
    <hyperlink ref="S2441" r:id="rId2369" xr:uid="{00000000-0004-0000-0200-000040090000}"/>
    <hyperlink ref="F2442" r:id="rId2370" xr:uid="{00000000-0004-0000-0200-000041090000}"/>
    <hyperlink ref="G2442" r:id="rId2371" xr:uid="{00000000-0004-0000-0200-000042090000}"/>
    <hyperlink ref="S2442" r:id="rId2372" xr:uid="{00000000-0004-0000-0200-000043090000}"/>
    <hyperlink ref="F2444" r:id="rId2373" xr:uid="{00000000-0004-0000-0200-000044090000}"/>
    <hyperlink ref="G2446" r:id="rId2374" xr:uid="{00000000-0004-0000-0200-000045090000}"/>
    <hyperlink ref="S2446" r:id="rId2375" xr:uid="{00000000-0004-0000-0200-000046090000}"/>
    <hyperlink ref="F2447" r:id="rId2376" xr:uid="{00000000-0004-0000-0200-000047090000}"/>
    <hyperlink ref="S2447" r:id="rId2377" xr:uid="{00000000-0004-0000-0200-000048090000}"/>
    <hyperlink ref="F2449" r:id="rId2378" xr:uid="{00000000-0004-0000-0200-000049090000}"/>
    <hyperlink ref="G2449" r:id="rId2379" xr:uid="{00000000-0004-0000-0200-00004A090000}"/>
    <hyperlink ref="S2449" r:id="rId2380" xr:uid="{00000000-0004-0000-0200-00004B090000}"/>
    <hyperlink ref="G2450" r:id="rId2381" xr:uid="{00000000-0004-0000-0200-00004C090000}"/>
    <hyperlink ref="S2451" r:id="rId2382" xr:uid="{00000000-0004-0000-0200-00004D090000}"/>
    <hyperlink ref="F2452" r:id="rId2383" location=".XAaPYTcC_45.twitter" xr:uid="{00000000-0004-0000-0200-00004E090000}"/>
    <hyperlink ref="S2453" r:id="rId2384" xr:uid="{00000000-0004-0000-0200-00004F090000}"/>
    <hyperlink ref="G2454" r:id="rId2385" xr:uid="{00000000-0004-0000-0200-000050090000}"/>
    <hyperlink ref="S2454" r:id="rId2386" xr:uid="{00000000-0004-0000-0200-000051090000}"/>
    <hyperlink ref="S2455" r:id="rId2387" xr:uid="{00000000-0004-0000-0200-000052090000}"/>
    <hyperlink ref="F2457" r:id="rId2388" xr:uid="{00000000-0004-0000-0200-000053090000}"/>
    <hyperlink ref="G2457" r:id="rId2389" xr:uid="{00000000-0004-0000-0200-000054090000}"/>
    <hyperlink ref="F2460" r:id="rId2390" xr:uid="{00000000-0004-0000-0200-000055090000}"/>
    <hyperlink ref="S2461" r:id="rId2391" xr:uid="{00000000-0004-0000-0200-000056090000}"/>
    <hyperlink ref="S2462" r:id="rId2392" xr:uid="{00000000-0004-0000-0200-000057090000}"/>
    <hyperlink ref="G2463" r:id="rId2393" xr:uid="{00000000-0004-0000-0200-000058090000}"/>
    <hyperlink ref="S2463" r:id="rId2394" xr:uid="{00000000-0004-0000-0200-000059090000}"/>
    <hyperlink ref="F2465" r:id="rId2395" xr:uid="{00000000-0004-0000-0200-00005A090000}"/>
    <hyperlink ref="G2466" r:id="rId2396" xr:uid="{00000000-0004-0000-0200-00005B090000}"/>
    <hyperlink ref="F2470" r:id="rId2397" xr:uid="{00000000-0004-0000-0200-00005C090000}"/>
    <hyperlink ref="G2470" r:id="rId2398" xr:uid="{00000000-0004-0000-0200-00005D090000}"/>
    <hyperlink ref="G2471" r:id="rId2399" xr:uid="{00000000-0004-0000-0200-00005E090000}"/>
    <hyperlink ref="F2472" r:id="rId2400" xr:uid="{00000000-0004-0000-0200-00005F090000}"/>
    <hyperlink ref="S2472" r:id="rId2401" xr:uid="{00000000-0004-0000-0200-000060090000}"/>
    <hyperlink ref="S2474" r:id="rId2402" xr:uid="{00000000-0004-0000-0200-000061090000}"/>
    <hyperlink ref="S2475" r:id="rId2403" xr:uid="{00000000-0004-0000-0200-000062090000}"/>
    <hyperlink ref="F2476" r:id="rId2404" xr:uid="{00000000-0004-0000-0200-000063090000}"/>
    <hyperlink ref="G2476" r:id="rId2405" xr:uid="{00000000-0004-0000-0200-00006409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Santi Abascal langes -filterret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Pablo Cañas</cp:lastModifiedBy>
  <dcterms:modified xsi:type="dcterms:W3CDTF">2018-12-10T18:20:48Z</dcterms:modified>
</cp:coreProperties>
</file>