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jahyap/Downloads/drive-download-20200306T021100Z-001/"/>
    </mc:Choice>
  </mc:AlternateContent>
  <xr:revisionPtr revIDLastSave="0" documentId="13_ncr:1_{D2AACA70-AE29-594A-8B9F-E2700C756450}" xr6:coauthVersionLast="45" xr6:coauthVersionMax="45" xr10:uidLastSave="{00000000-0000-0000-0000-000000000000}"/>
  <bookViews>
    <workbookView xWindow="0" yWindow="0" windowWidth="26880" windowHeight="16800" xr2:uid="{00000000-000D-0000-FFFF-FFFF00000000}"/>
  </bookViews>
  <sheets>
    <sheet name="Calculator" sheetId="1" r:id="rId1"/>
    <sheet name="Additional Data" sheetId="2" r:id="rId2"/>
    <sheet name="Cost" sheetId="3" r:id="rId3"/>
  </sheets>
  <definedNames>
    <definedName name="ValidAmps">'Additional Data'!$B$15:$B$17</definedName>
    <definedName name="ValidFilters">'Additional Data'!$B$18:$B$20</definedName>
    <definedName name="ValidPyldComps">'Additional Data'!$B$15:$B$20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9" i="1" s="1"/>
  <c r="M13" i="3"/>
  <c r="M14" i="3"/>
  <c r="M12" i="3"/>
  <c r="M10" i="3"/>
  <c r="M9" i="3"/>
  <c r="M8" i="3"/>
  <c r="W9" i="3"/>
  <c r="W10" i="3"/>
  <c r="W8" i="3"/>
  <c r="H11" i="3"/>
  <c r="H10" i="3"/>
  <c r="H9" i="3"/>
  <c r="H8" i="3"/>
  <c r="H37" i="1" l="1"/>
  <c r="C39" i="1" l="1"/>
  <c r="C29" i="1"/>
  <c r="I5" i="1"/>
  <c r="C17" i="1"/>
  <c r="C18" i="1" s="1"/>
  <c r="C14" i="1"/>
  <c r="H38" i="1" s="1"/>
  <c r="C15" i="1"/>
  <c r="C16" i="1" s="1"/>
  <c r="H8" i="1"/>
  <c r="H23" i="1" s="1"/>
  <c r="C30" i="1"/>
  <c r="C37" i="1"/>
  <c r="H15" i="1"/>
  <c r="C34" i="1"/>
  <c r="C33" i="1"/>
  <c r="C32" i="1"/>
  <c r="C45" i="1"/>
  <c r="C43" i="1"/>
  <c r="C44" i="1"/>
  <c r="C41" i="1"/>
  <c r="C7" i="1"/>
  <c r="C6" i="1" s="1"/>
  <c r="H19" i="1"/>
  <c r="C8" i="3" s="1"/>
  <c r="E8" i="3" s="1"/>
  <c r="C5" i="3" s="1"/>
  <c r="O15" i="1"/>
  <c r="O17" i="1"/>
  <c r="O18" i="1"/>
  <c r="J8" i="3"/>
  <c r="J9" i="3"/>
  <c r="J10" i="3"/>
  <c r="J11" i="3"/>
  <c r="O8" i="3"/>
  <c r="N9" i="3"/>
  <c r="O9" i="3"/>
  <c r="N10" i="3"/>
  <c r="O10" i="3"/>
  <c r="N11" i="3"/>
  <c r="O11" i="3"/>
  <c r="N12" i="3"/>
  <c r="O12" i="3" s="1"/>
  <c r="N13" i="3"/>
  <c r="O13" i="3"/>
  <c r="N14" i="3"/>
  <c r="O14" i="3"/>
  <c r="Y8" i="3"/>
  <c r="Y9" i="3"/>
  <c r="Y10" i="3"/>
  <c r="O14" i="1"/>
  <c r="AK13" i="1"/>
  <c r="AL6" i="1"/>
  <c r="AL5" i="1"/>
  <c r="AK5" i="1"/>
  <c r="L6" i="1"/>
  <c r="C40" i="1" l="1"/>
  <c r="M10" i="1" s="1"/>
  <c r="M5" i="3"/>
  <c r="H30" i="1" s="1"/>
  <c r="H5" i="3"/>
  <c r="H29" i="1" s="1"/>
  <c r="W5" i="3"/>
  <c r="H32" i="1" s="1"/>
  <c r="L8" i="1"/>
  <c r="H21" i="1"/>
  <c r="C35" i="1"/>
  <c r="C36" i="1" s="1"/>
  <c r="M16" i="1" s="1"/>
  <c r="L10" i="1"/>
  <c r="H14" i="1"/>
  <c r="H22" i="1" s="1"/>
  <c r="R8" i="3" s="1"/>
  <c r="T8" i="3" s="1"/>
  <c r="AI9" i="1"/>
  <c r="AI12" i="1" s="1"/>
  <c r="AK12" i="1" s="1"/>
  <c r="H20" i="1"/>
  <c r="H39" i="1"/>
  <c r="AI10" i="1"/>
  <c r="AI3" i="1"/>
  <c r="AJ13" i="1" s="1"/>
  <c r="AL13" i="1" s="1"/>
  <c r="AI8" i="1"/>
  <c r="AK8" i="1" s="1"/>
  <c r="AJ7" i="1"/>
  <c r="AI6" i="1"/>
  <c r="H28" i="1"/>
  <c r="R12" i="3" l="1"/>
  <c r="T12" i="3" s="1"/>
  <c r="R9" i="3"/>
  <c r="T9" i="3" s="1"/>
  <c r="R11" i="3"/>
  <c r="T11" i="3" s="1"/>
  <c r="R10" i="3"/>
  <c r="T10" i="3" s="1"/>
  <c r="N10" i="1"/>
  <c r="E36" i="1"/>
  <c r="H24" i="1"/>
  <c r="M17" i="1" s="1"/>
  <c r="AJ9" i="1"/>
  <c r="AL9" i="1" s="1"/>
  <c r="AK9" i="1"/>
  <c r="AI11" i="1"/>
  <c r="AK11" i="1" s="1"/>
  <c r="AK10" i="1"/>
  <c r="AI7" i="1"/>
  <c r="AK7" i="1" s="1"/>
  <c r="AK6" i="1"/>
  <c r="AL7" i="1"/>
  <c r="AJ8" i="1"/>
  <c r="AL8" i="1" s="1"/>
  <c r="H40" i="1"/>
  <c r="M8" i="1"/>
  <c r="N8" i="1" s="1"/>
  <c r="R5" i="3" l="1"/>
  <c r="AJ10" i="1"/>
  <c r="AJ11" i="1" s="1"/>
  <c r="M6" i="1"/>
  <c r="M14" i="1"/>
  <c r="H41" i="1"/>
  <c r="M15" i="1" s="1"/>
  <c r="H31" i="1" l="1"/>
  <c r="H33" i="1" s="1"/>
  <c r="M18" i="1" s="1"/>
  <c r="C2" i="3"/>
  <c r="N6" i="1"/>
  <c r="AL10" i="1"/>
  <c r="AJ12" i="1"/>
  <c r="AL12" i="1" s="1"/>
  <c r="AL11" i="1"/>
  <c r="H6" i="3" l="1"/>
  <c r="M6" i="3"/>
  <c r="R6" i="3"/>
  <c r="W6" i="3"/>
  <c r="C6" i="3"/>
</calcChain>
</file>

<file path=xl/sharedStrings.xml><?xml version="1.0" encoding="utf-8"?>
<sst xmlns="http://schemas.openxmlformats.org/spreadsheetml/2006/main" count="350" uniqueCount="209">
  <si>
    <t>Solar Airplane Design Calculator</t>
  </si>
  <si>
    <t>Calculated</t>
  </si>
  <si>
    <t>Input</t>
  </si>
  <si>
    <t>Defined Packages</t>
  </si>
  <si>
    <t>Geometric Calcs</t>
  </si>
  <si>
    <t>Length</t>
  </si>
  <si>
    <t>Structure</t>
  </si>
  <si>
    <t>Power Generation</t>
  </si>
  <si>
    <t>Design Check</t>
  </si>
  <si>
    <t>Point</t>
  </si>
  <si>
    <t>x</t>
  </si>
  <si>
    <t>y</t>
  </si>
  <si>
    <t>Variable</t>
  </si>
  <si>
    <t>Value</t>
  </si>
  <si>
    <t>Units</t>
  </si>
  <si>
    <t>Description</t>
  </si>
  <si>
    <t>Cell Type</t>
  </si>
  <si>
    <t>GE Energy</t>
  </si>
  <si>
    <t>Lift</t>
  </si>
  <si>
    <t>Weight</t>
  </si>
  <si>
    <t>c</t>
  </si>
  <si>
    <t>m</t>
  </si>
  <si>
    <t>Chord</t>
  </si>
  <si>
    <t>b</t>
  </si>
  <si>
    <t>Span</t>
  </si>
  <si>
    <t>K_solar</t>
  </si>
  <si>
    <t>-</t>
  </si>
  <si>
    <t>Solar Panel Efficiency</t>
  </si>
  <si>
    <t>Thrust</t>
  </si>
  <si>
    <t>Drag</t>
  </si>
  <si>
    <t>AR</t>
  </si>
  <si>
    <t>Aspect Ratio</t>
  </si>
  <si>
    <t>m_cellarea</t>
  </si>
  <si>
    <t>kg/m^2</t>
  </si>
  <si>
    <t>Solar Cell Mass Density</t>
  </si>
  <si>
    <t>Sw</t>
  </si>
  <si>
    <t>m^2</t>
  </si>
  <si>
    <t>Planform Area</t>
  </si>
  <si>
    <t>P_in</t>
  </si>
  <si>
    <t>kW</t>
  </si>
  <si>
    <t>Input Power</t>
  </si>
  <si>
    <t>P_tot</t>
  </si>
  <si>
    <t>Propulsion</t>
  </si>
  <si>
    <t>Power Storage</t>
  </si>
  <si>
    <t>Type</t>
  </si>
  <si>
    <t>Motor B</t>
  </si>
  <si>
    <t>Lead Acid</t>
  </si>
  <si>
    <t>Key Outputs</t>
  </si>
  <si>
    <t>Kprop</t>
  </si>
  <si>
    <t>Propulsion Efficiency</t>
  </si>
  <si>
    <t>E_stored</t>
  </si>
  <si>
    <t>W</t>
  </si>
  <si>
    <t>Stored Energy</t>
  </si>
  <si>
    <t>E</t>
  </si>
  <si>
    <t>days</t>
  </si>
  <si>
    <t>P_eng</t>
  </si>
  <si>
    <t>Power per engine</t>
  </si>
  <si>
    <t>E_density</t>
  </si>
  <si>
    <t>Wh/kg</t>
  </si>
  <si>
    <t>Energy Density</t>
  </si>
  <si>
    <t>R</t>
  </si>
  <si>
    <t>km</t>
  </si>
  <si>
    <t>Mass Breakdown</t>
  </si>
  <si>
    <t>P_prop</t>
  </si>
  <si>
    <t>Total Propulsive Power</t>
  </si>
  <si>
    <t>P_out</t>
  </si>
  <si>
    <t>Total Comm Signal Power</t>
  </si>
  <si>
    <t>Structural</t>
  </si>
  <si>
    <t>T_eng</t>
  </si>
  <si>
    <t>N</t>
  </si>
  <si>
    <t>Thrust per engine</t>
  </si>
  <si>
    <t>Mass</t>
  </si>
  <si>
    <t>m_total</t>
  </si>
  <si>
    <t>kg</t>
  </si>
  <si>
    <t>T</t>
  </si>
  <si>
    <t>Total Thrust</t>
  </si>
  <si>
    <t>c_total</t>
  </si>
  <si>
    <t>USD</t>
  </si>
  <si>
    <t>Payload</t>
  </si>
  <si>
    <t>N_eng</t>
  </si>
  <si>
    <t>Number of Engines</t>
  </si>
  <si>
    <t>m_struct</t>
  </si>
  <si>
    <t>Structural Mass</t>
  </si>
  <si>
    <t>Battery</t>
  </si>
  <si>
    <t>m_prop</t>
  </si>
  <si>
    <t>Propulsion Mass</t>
  </si>
  <si>
    <t>Solar Cells</t>
  </si>
  <si>
    <t>m_payload</t>
  </si>
  <si>
    <t>Payload Mass</t>
  </si>
  <si>
    <t>Communication System</t>
  </si>
  <si>
    <t>m_bat</t>
  </si>
  <si>
    <t>Battery Mass</t>
  </si>
  <si>
    <t>m_cells</t>
  </si>
  <si>
    <t>Solar Cells Mass</t>
  </si>
  <si>
    <t>Amp 1</t>
  </si>
  <si>
    <t>Amplifier A</t>
  </si>
  <si>
    <t>Amplifer 1 type</t>
  </si>
  <si>
    <t>Total Mass</t>
  </si>
  <si>
    <t>Data Visualization</t>
  </si>
  <si>
    <t>Filter 1</t>
  </si>
  <si>
    <t>Filter C</t>
  </si>
  <si>
    <t>Filter 1 type</t>
  </si>
  <si>
    <t>Amp 2</t>
  </si>
  <si>
    <t>Amplifier C</t>
  </si>
  <si>
    <t>Amplifier 2 type</t>
  </si>
  <si>
    <t>Cost</t>
  </si>
  <si>
    <t>Filter 2</t>
  </si>
  <si>
    <t>Filter A</t>
  </si>
  <si>
    <t>Filter 2 type</t>
  </si>
  <si>
    <t>LINK BUDGET</t>
  </si>
  <si>
    <t>P_in_payload</t>
  </si>
  <si>
    <t>Power to Payload</t>
  </si>
  <si>
    <t>c_struct</t>
  </si>
  <si>
    <t>Structural Cost</t>
  </si>
  <si>
    <t>P_in_dBW</t>
  </si>
  <si>
    <t>dBW</t>
  </si>
  <si>
    <t>Conversion to dBW</t>
  </si>
  <si>
    <t>c_prop</t>
  </si>
  <si>
    <t>Propulsion Cost</t>
  </si>
  <si>
    <t>G_amp1</t>
  </si>
  <si>
    <t>dB</t>
  </si>
  <si>
    <t>Amplifier 1 gain</t>
  </si>
  <si>
    <t>c_payload</t>
  </si>
  <si>
    <t>Payload Cost</t>
  </si>
  <si>
    <t>G_converter</t>
  </si>
  <si>
    <t>Converter gain (fixed)</t>
  </si>
  <si>
    <t>c_bat</t>
  </si>
  <si>
    <t>Battery Cost</t>
  </si>
  <si>
    <t>L_filter 1</t>
  </si>
  <si>
    <t>Filter 1 loss</t>
  </si>
  <si>
    <t>c_cells</t>
  </si>
  <si>
    <t>Solar Cells Cost</t>
  </si>
  <si>
    <t>G_amp2</t>
  </si>
  <si>
    <t>Amplifier 2 gain</t>
  </si>
  <si>
    <t>Total Cost</t>
  </si>
  <si>
    <t>L_filter2</t>
  </si>
  <si>
    <t>Filter 2 loss</t>
  </si>
  <si>
    <t>P_out_dBW</t>
  </si>
  <si>
    <t>Output Power</t>
  </si>
  <si>
    <t>P_out_payload</t>
  </si>
  <si>
    <t>DC_Power_amp1</t>
  </si>
  <si>
    <t>Amplifier 1 DC power</t>
  </si>
  <si>
    <t>DC_Power_converter</t>
  </si>
  <si>
    <t>Converter DC power</t>
  </si>
  <si>
    <t>DC_Power_amp2</t>
  </si>
  <si>
    <t xml:space="preserve">Amplifier 2 DC power </t>
  </si>
  <si>
    <t>Aero</t>
  </si>
  <si>
    <t>DC_Power_Total</t>
  </si>
  <si>
    <t>Total DC power</t>
  </si>
  <si>
    <t>m_amp1</t>
  </si>
  <si>
    <t>Amplifier 1 mass</t>
  </si>
  <si>
    <t>L</t>
  </si>
  <si>
    <t>m_converter</t>
  </si>
  <si>
    <t>Converter mass (fixed)</t>
  </si>
  <si>
    <t>D</t>
  </si>
  <si>
    <t>m_filter1</t>
  </si>
  <si>
    <t>Filter 1 mass</t>
  </si>
  <si>
    <t>L/D</t>
  </si>
  <si>
    <t>Lift to Drag Ratio</t>
  </si>
  <si>
    <t>m_amp2</t>
  </si>
  <si>
    <t>Amplifier 2 mass</t>
  </si>
  <si>
    <t>Days</t>
  </si>
  <si>
    <t>Endurance</t>
  </si>
  <si>
    <t>m_filter2</t>
  </si>
  <si>
    <t>Filter 2 mass</t>
  </si>
  <si>
    <t>Range</t>
  </si>
  <si>
    <t>m_growth</t>
  </si>
  <si>
    <t>%</t>
  </si>
  <si>
    <t>Mass growth (fixed)</t>
  </si>
  <si>
    <t>Manufacturer</t>
  </si>
  <si>
    <t>Efficiency [-]</t>
  </si>
  <si>
    <t>Mass [kg/m^2]</t>
  </si>
  <si>
    <t>First Solar</t>
  </si>
  <si>
    <t>CdTe - Thin Film</t>
  </si>
  <si>
    <t>Si - Monocrystalline</t>
  </si>
  <si>
    <t>Spectrolab</t>
  </si>
  <si>
    <t>Triple Junction</t>
  </si>
  <si>
    <t>Type of Battery</t>
  </si>
  <si>
    <t>Energy Density (Wh/kg)</t>
  </si>
  <si>
    <t>Li-ion</t>
  </si>
  <si>
    <t>Li-ion Polymer</t>
  </si>
  <si>
    <t>NiCd</t>
  </si>
  <si>
    <t>NiMH</t>
  </si>
  <si>
    <t>Payload Component Type</t>
  </si>
  <si>
    <t>Gain (dB)</t>
  </si>
  <si>
    <t>DC Power (kW)</t>
  </si>
  <si>
    <t>Amplifier B</t>
  </si>
  <si>
    <t>N/A</t>
  </si>
  <si>
    <t>Filter B</t>
  </si>
  <si>
    <t>Motor Type</t>
  </si>
  <si>
    <t>Power, kW</t>
  </si>
  <si>
    <t>K</t>
  </si>
  <si>
    <t>Thrust, N</t>
  </si>
  <si>
    <t>Motor A</t>
  </si>
  <si>
    <t>Motor C</t>
  </si>
  <si>
    <t>Motor D</t>
  </si>
  <si>
    <t>Cells</t>
  </si>
  <si>
    <t>Subtotal</t>
  </si>
  <si>
    <t>% of total</t>
  </si>
  <si>
    <t>Component</t>
  </si>
  <si>
    <t>Unit Quantity (kg)</t>
  </si>
  <si>
    <t>Unit Cost ($/kg)</t>
  </si>
  <si>
    <t>Cost ($)</t>
  </si>
  <si>
    <t>Unit Quantity</t>
  </si>
  <si>
    <t>Unit Cost ($)</t>
  </si>
  <si>
    <t>Units (kg)</t>
  </si>
  <si>
    <r>
      <t>Units (m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</si>
  <si>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r>
      <t>Unit Cost ($/m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</si>
  <si>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t>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</si>
</sst>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2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/>
    <xf numFmtId="0" fontId="1" fillId="0" borderId="0" xfId="0" applyFont="1" applyFill="1" applyAlignment="1">
      <alignment horizontal="left"/>
    </xf>
    <xf numFmtId="0" fontId="0" fillId="0" borderId="2" xfId="0" applyFill="1" applyBorder="1"/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" xfId="0" quotePrefix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Border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9" fontId="0" fillId="0" borderId="0" xfId="0" applyNumberFormat="1" applyFill="1"/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" fontId="0" fillId="0" borderId="2" xfId="0" applyNumberFormat="1" applyFill="1" applyBorder="1"/>
    <xf numFmtId="2" fontId="5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/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wrapText="1"/>
    </xf>
    <xf numFmtId="2" fontId="8" fillId="0" borderId="29" xfId="0" applyNumberFormat="1" applyFont="1" applyBorder="1" applyAlignment="1">
      <alignment wrapText="1"/>
    </xf>
    <xf numFmtId="44" fontId="8" fillId="0" borderId="29" xfId="0" applyNumberFormat="1" applyFont="1" applyBorder="1" applyAlignment="1">
      <alignment wrapText="1"/>
    </xf>
    <xf numFmtId="44" fontId="8" fillId="0" borderId="30" xfId="0" applyNumberFormat="1" applyFont="1" applyBorder="1" applyAlignment="1">
      <alignment wrapText="1"/>
    </xf>
    <xf numFmtId="1" fontId="8" fillId="0" borderId="29" xfId="0" applyNumberFormat="1" applyFont="1" applyBorder="1" applyAlignment="1">
      <alignment wrapText="1"/>
    </xf>
    <xf numFmtId="0" fontId="8" fillId="0" borderId="31" xfId="0" applyFont="1" applyBorder="1" applyAlignment="1">
      <alignment wrapText="1"/>
    </xf>
    <xf numFmtId="2" fontId="8" fillId="0" borderId="32" xfId="0" applyNumberFormat="1" applyFont="1" applyBorder="1" applyAlignment="1">
      <alignment wrapText="1"/>
    </xf>
    <xf numFmtId="44" fontId="8" fillId="0" borderId="32" xfId="0" applyNumberFormat="1" applyFont="1" applyBorder="1" applyAlignment="1">
      <alignment wrapText="1"/>
    </xf>
    <xf numFmtId="44" fontId="8" fillId="0" borderId="33" xfId="0" applyNumberFormat="1" applyFont="1" applyBorder="1" applyAlignment="1">
      <alignment wrapText="1"/>
    </xf>
    <xf numFmtId="1" fontId="8" fillId="0" borderId="32" xfId="0" applyNumberFormat="1" applyFont="1" applyBorder="1" applyAlignment="1">
      <alignment wrapText="1"/>
    </xf>
    <xf numFmtId="0" fontId="8" fillId="0" borderId="34" xfId="0" applyFont="1" applyBorder="1" applyAlignment="1">
      <alignment wrapText="1"/>
    </xf>
    <xf numFmtId="2" fontId="8" fillId="0" borderId="35" xfId="0" applyNumberFormat="1" applyFont="1" applyBorder="1" applyAlignment="1">
      <alignment wrapText="1"/>
    </xf>
    <xf numFmtId="44" fontId="8" fillId="0" borderId="35" xfId="0" applyNumberFormat="1" applyFont="1" applyBorder="1" applyAlignment="1">
      <alignment wrapText="1"/>
    </xf>
    <xf numFmtId="44" fontId="8" fillId="0" borderId="36" xfId="0" applyNumberFormat="1" applyFont="1" applyBorder="1" applyAlignment="1">
      <alignment wrapText="1"/>
    </xf>
    <xf numFmtId="1" fontId="8" fillId="0" borderId="35" xfId="0" applyNumberFormat="1" applyFont="1" applyBorder="1" applyAlignment="1">
      <alignment wrapText="1"/>
    </xf>
    <xf numFmtId="164" fontId="13" fillId="0" borderId="2" xfId="0" applyNumberFormat="1" applyFont="1" applyFill="1" applyBorder="1"/>
    <xf numFmtId="1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0" fontId="0" fillId="0" borderId="0" xfId="0" applyNumberFormat="1" applyFill="1"/>
    <xf numFmtId="0" fontId="7" fillId="0" borderId="2" xfId="0" applyFont="1" applyFill="1" applyBorder="1" applyAlignment="1">
      <alignment horizontal="center"/>
    </xf>
    <xf numFmtId="0" fontId="0" fillId="0" borderId="37" xfId="0" applyFill="1" applyBorder="1"/>
    <xf numFmtId="0" fontId="3" fillId="0" borderId="37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" fontId="0" fillId="3" borderId="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9" fontId="0" fillId="3" borderId="3" xfId="0" applyNumberFormat="1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9" fontId="0" fillId="3" borderId="1" xfId="0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9" fontId="0" fillId="3" borderId="13" xfId="0" applyNumberFormat="1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3" borderId="43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1" fontId="0" fillId="9" borderId="3" xfId="0" quotePrefix="1" applyNumberFormat="1" applyFont="1" applyFill="1" applyBorder="1" applyAlignment="1">
      <alignment horizontal="center"/>
    </xf>
    <xf numFmtId="164" fontId="0" fillId="9" borderId="2" xfId="0" quotePrefix="1" applyNumberFormat="1" applyFill="1" applyBorder="1" applyAlignment="1">
      <alignment horizontal="center"/>
    </xf>
    <xf numFmtId="1" fontId="0" fillId="9" borderId="1" xfId="0" quotePrefix="1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4" fontId="0" fillId="9" borderId="1" xfId="0" quotePrefix="1" applyNumberFormat="1" applyFill="1" applyBorder="1" applyAlignment="1">
      <alignment horizontal="center"/>
    </xf>
    <xf numFmtId="1" fontId="0" fillId="9" borderId="2" xfId="0" quotePrefix="1" applyNumberForma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left"/>
    </xf>
    <xf numFmtId="0" fontId="15" fillId="10" borderId="4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10" borderId="6" xfId="0" applyFont="1" applyFill="1" applyBorder="1"/>
    <xf numFmtId="0" fontId="14" fillId="10" borderId="6" xfId="0" applyFont="1" applyFill="1" applyBorder="1"/>
    <xf numFmtId="0" fontId="17" fillId="12" borderId="4" xfId="0" applyFont="1" applyFill="1" applyBorder="1" applyAlignment="1">
      <alignment horizontal="center"/>
    </xf>
    <xf numFmtId="0" fontId="14" fillId="12" borderId="3" xfId="0" applyFont="1" applyFill="1" applyBorder="1"/>
    <xf numFmtId="0" fontId="15" fillId="12" borderId="3" xfId="0" applyFont="1" applyFill="1" applyBorder="1"/>
    <xf numFmtId="0" fontId="14" fillId="12" borderId="1" xfId="0" applyFont="1" applyFill="1" applyBorder="1"/>
    <xf numFmtId="0" fontId="15" fillId="12" borderId="1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5" fillId="8" borderId="0" xfId="0" applyFont="1" applyFill="1"/>
    <xf numFmtId="0" fontId="0" fillId="8" borderId="0" xfId="0" applyFill="1" applyBorder="1"/>
    <xf numFmtId="10" fontId="0" fillId="8" borderId="0" xfId="0" applyNumberFormat="1" applyFill="1"/>
    <xf numFmtId="0" fontId="0" fillId="8" borderId="0" xfId="0" applyFill="1" applyBorder="1" applyAlignment="1"/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left"/>
    </xf>
    <xf numFmtId="0" fontId="18" fillId="0" borderId="0" xfId="0" applyFont="1" applyFill="1"/>
    <xf numFmtId="0" fontId="0" fillId="8" borderId="0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center"/>
    </xf>
    <xf numFmtId="9" fontId="21" fillId="8" borderId="3" xfId="0" applyNumberFormat="1" applyFont="1" applyFill="1" applyBorder="1" applyAlignment="1">
      <alignment horizontal="center"/>
    </xf>
    <xf numFmtId="2" fontId="21" fillId="8" borderId="1" xfId="0" applyNumberFormat="1" applyFont="1" applyFill="1" applyBorder="1" applyAlignment="1">
      <alignment horizontal="center"/>
    </xf>
    <xf numFmtId="1" fontId="21" fillId="8" borderId="2" xfId="0" applyNumberFormat="1" applyFont="1" applyFill="1" applyBorder="1" applyAlignment="1">
      <alignment horizontal="center"/>
    </xf>
    <xf numFmtId="9" fontId="21" fillId="8" borderId="1" xfId="0" applyNumberFormat="1" applyFont="1" applyFill="1" applyBorder="1" applyAlignment="1">
      <alignment horizontal="center"/>
    </xf>
    <xf numFmtId="164" fontId="21" fillId="8" borderId="1" xfId="0" applyNumberFormat="1" applyFont="1" applyFill="1" applyBorder="1" applyAlignment="1">
      <alignment horizontal="center"/>
    </xf>
    <xf numFmtId="1" fontId="21" fillId="8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 applyProtection="1">
      <alignment horizontal="center"/>
      <protection locked="0"/>
    </xf>
    <xf numFmtId="0" fontId="0" fillId="11" borderId="2" xfId="0" applyFill="1" applyBorder="1" applyAlignment="1" applyProtection="1">
      <alignment horizontal="center"/>
      <protection locked="0"/>
    </xf>
    <xf numFmtId="1" fontId="0" fillId="11" borderId="2" xfId="0" applyNumberFormat="1" applyFill="1" applyBorder="1" applyAlignment="1" applyProtection="1">
      <alignment horizontal="center"/>
      <protection locked="0"/>
    </xf>
    <xf numFmtId="1" fontId="0" fillId="9" borderId="1" xfId="0" applyNumberFormat="1" applyFill="1" applyBorder="1" applyAlignment="1" applyProtection="1">
      <alignment horizontal="center"/>
      <protection locked="0"/>
    </xf>
    <xf numFmtId="1" fontId="13" fillId="11" borderId="39" xfId="0" applyNumberFormat="1" applyFont="1" applyFill="1" applyBorder="1" applyAlignment="1">
      <alignment horizontal="center"/>
    </xf>
    <xf numFmtId="1" fontId="0" fillId="0" borderId="0" xfId="0" applyNumberFormat="1" applyFill="1"/>
    <xf numFmtId="0" fontId="3" fillId="7" borderId="38" xfId="0" applyFont="1" applyFill="1" applyBorder="1" applyAlignment="1">
      <alignment horizontal="center" vertical="center" textRotation="90"/>
    </xf>
    <xf numFmtId="0" fontId="3" fillId="7" borderId="10" xfId="0" applyFont="1" applyFill="1" applyBorder="1" applyAlignment="1">
      <alignment horizontal="center" vertical="center" textRotation="90"/>
    </xf>
    <xf numFmtId="0" fontId="3" fillId="7" borderId="12" xfId="0" applyFont="1" applyFill="1" applyBorder="1" applyAlignment="1">
      <alignment horizontal="center" vertical="center" textRotation="90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44" fontId="9" fillId="4" borderId="16" xfId="0" applyNumberFormat="1" applyFont="1" applyFill="1" applyBorder="1" applyAlignment="1">
      <alignment horizontal="center" vertical="center" wrapText="1"/>
    </xf>
    <xf numFmtId="44" fontId="9" fillId="4" borderId="17" xfId="0" applyNumberFormat="1" applyFont="1" applyFill="1" applyBorder="1" applyAlignment="1">
      <alignment horizontal="center" vertical="center" wrapText="1"/>
    </xf>
    <xf numFmtId="10" fontId="9" fillId="4" borderId="26" xfId="0" applyNumberFormat="1" applyFont="1" applyFill="1" applyBorder="1" applyAlignment="1">
      <alignment horizontal="right" vertical="center"/>
    </xf>
    <xf numFmtId="10" fontId="9" fillId="4" borderId="27" xfId="0" applyNumberFormat="1" applyFont="1" applyFill="1" applyBorder="1" applyAlignment="1">
      <alignment horizontal="right" vertical="center"/>
    </xf>
    <xf numFmtId="10" fontId="9" fillId="4" borderId="28" xfId="0" applyNumberFormat="1" applyFont="1" applyFill="1" applyBorder="1" applyAlignment="1">
      <alignment horizontal="right" vertical="center"/>
    </xf>
    <xf numFmtId="44" fontId="9" fillId="4" borderId="22" xfId="0" applyNumberFormat="1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Rough Airplane Plan View</a:t>
            </a:r>
          </a:p>
        </c:rich>
      </c:tx>
      <c:layout>
        <c:manualLayout>
          <c:xMode val="edge"/>
          <c:yMode val="edge"/>
          <c:x val="0.163008130081300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888888888888891E-2"/>
          <c:y val="8.1313373062409752E-2"/>
          <c:w val="0.75374996642160985"/>
          <c:h val="0.74831087304025978"/>
        </c:manualLayout>
      </c:layout>
      <c:scatterChart>
        <c:scatterStyle val="lineMarker"/>
        <c:varyColors val="0"/>
        <c:ser>
          <c:idx val="0"/>
          <c:order val="0"/>
          <c:tx>
            <c:v>Positive Profile</c:v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Calculator!$AI$5:$AI$13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12.708019121798644</c:v>
                </c:pt>
                <c:pt idx="2">
                  <c:v>12.708019121798644</c:v>
                </c:pt>
                <c:pt idx="3">
                  <c:v>0.84720127478657625</c:v>
                </c:pt>
                <c:pt idx="4">
                  <c:v>2.25920339943087</c:v>
                </c:pt>
                <c:pt idx="5">
                  <c:v>28.240042492885877</c:v>
                </c:pt>
                <c:pt idx="6">
                  <c:v>28.240042492885877</c:v>
                </c:pt>
                <c:pt idx="7">
                  <c:v>2.25920339943087</c:v>
                </c:pt>
                <c:pt idx="8">
                  <c:v>0</c:v>
                </c:pt>
              </c:numCache>
            </c:numRef>
          </c:xVal>
          <c:yVal>
            <c:numRef>
              <c:f>Calculator!$AJ$5:$AJ$13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0.97379456872020265</c:v>
                </c:pt>
                <c:pt idx="3">
                  <c:v>1.9475891374404053</c:v>
                </c:pt>
                <c:pt idx="4">
                  <c:v>30.090252173454267</c:v>
                </c:pt>
                <c:pt idx="5">
                  <c:v>30.090252173454267</c:v>
                </c:pt>
                <c:pt idx="6">
                  <c:v>32.03784131089467</c:v>
                </c:pt>
                <c:pt idx="7">
                  <c:v>32.03784131089467</c:v>
                </c:pt>
                <c:pt idx="8">
                  <c:v>56.480084985771754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C-424B-BA3D-24CB8BEF6290}"/>
            </c:ext>
          </c:extLst>
        </c:ser>
        <c:ser>
          <c:idx val="1"/>
          <c:order val="1"/>
          <c:tx>
            <c:v>Negative Profile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Calculator!$AK$5:$AK$13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-12.708019121798644</c:v>
                </c:pt>
                <c:pt idx="2">
                  <c:v>-12.708019121798644</c:v>
                </c:pt>
                <c:pt idx="3">
                  <c:v>-0.84720127478657625</c:v>
                </c:pt>
                <c:pt idx="4">
                  <c:v>-2.25920339943087</c:v>
                </c:pt>
                <c:pt idx="5">
                  <c:v>-28.240042492885877</c:v>
                </c:pt>
                <c:pt idx="6">
                  <c:v>-28.240042492885877</c:v>
                </c:pt>
                <c:pt idx="7">
                  <c:v>-2.25920339943087</c:v>
                </c:pt>
                <c:pt idx="8">
                  <c:v>0</c:v>
                </c:pt>
              </c:numCache>
            </c:numRef>
          </c:xVal>
          <c:yVal>
            <c:numRef>
              <c:f>Calculator!$AL$5:$AL$13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0.97379456872020265</c:v>
                </c:pt>
                <c:pt idx="3">
                  <c:v>1.9475891374404053</c:v>
                </c:pt>
                <c:pt idx="4">
                  <c:v>30.090252173454267</c:v>
                </c:pt>
                <c:pt idx="5">
                  <c:v>30.090252173454267</c:v>
                </c:pt>
                <c:pt idx="6">
                  <c:v>32.03784131089467</c:v>
                </c:pt>
                <c:pt idx="7">
                  <c:v>32.03784131089467</c:v>
                </c:pt>
                <c:pt idx="8">
                  <c:v>56.480084985771754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C-424B-BA3D-24CB8BEF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56272"/>
        <c:axId val="216657056"/>
      </c:scatterChart>
      <c:valAx>
        <c:axId val="2166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X [m]</a:t>
                </a:r>
              </a:p>
            </c:rich>
          </c:tx>
          <c:layout>
            <c:manualLayout>
              <c:xMode val="edge"/>
              <c:yMode val="edge"/>
              <c:x val="0.36428178947143802"/>
              <c:y val="0.910194033189216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6657056"/>
        <c:crosses val="autoZero"/>
        <c:crossBetween val="midCat"/>
        <c:majorUnit val="25"/>
        <c:minorUnit val="1"/>
      </c:valAx>
      <c:valAx>
        <c:axId val="216657056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Y [m]</a:t>
                </a:r>
              </a:p>
            </c:rich>
          </c:tx>
          <c:layout>
            <c:manualLayout>
              <c:xMode val="edge"/>
              <c:yMode val="edge"/>
              <c:x val="0.91539620809593925"/>
              <c:y val="0.46310085025779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6656272"/>
        <c:crosses val="max"/>
        <c:crossBetween val="midCat"/>
        <c:majorUnit val="25"/>
        <c:minorUnit val="0.4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Vehicle Mass Breakdown</a:t>
            </a:r>
          </a:p>
        </c:rich>
      </c:tx>
      <c:layout>
        <c:manualLayout>
          <c:xMode val="edge"/>
          <c:yMode val="edge"/>
          <c:x val="0.26027103127642753"/>
          <c:y val="3.764090415768980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Calculator!$AH$16:$AH$20</c:f>
              <c:strCache>
                <c:ptCount val="5"/>
                <c:pt idx="0">
                  <c:v>Structural</c:v>
                </c:pt>
                <c:pt idx="1">
                  <c:v>Propulsion</c:v>
                </c:pt>
                <c:pt idx="2">
                  <c:v>Payload</c:v>
                </c:pt>
                <c:pt idx="3">
                  <c:v>Battery</c:v>
                </c:pt>
                <c:pt idx="4">
                  <c:v>Solar Cells</c:v>
                </c:pt>
              </c:strCache>
            </c:strRef>
          </c:cat>
          <c:val>
            <c:numRef>
              <c:f>Calculator!$H$19:$H$23</c:f>
              <c:numCache>
                <c:formatCode>0</c:formatCode>
                <c:ptCount val="5"/>
                <c:pt idx="0">
                  <c:v>211.25607929792486</c:v>
                </c:pt>
                <c:pt idx="1">
                  <c:v>31.945499999999996</c:v>
                </c:pt>
                <c:pt idx="2">
                  <c:v>363.3</c:v>
                </c:pt>
                <c:pt idx="3">
                  <c:v>31.166666666666671</c:v>
                </c:pt>
                <c:pt idx="4">
                  <c:v>74.800000000000011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914B-9DD2-ED293EB7E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5604208361726877"/>
          <c:y val="0.32104628723853584"/>
          <c:w val="0.24012060484045861"/>
          <c:h val="0.40383765856820503"/>
        </c:manualLayout>
      </c:layout>
      <c:overlay val="0"/>
      <c:txPr>
        <a:bodyPr/>
        <a:lstStyle/>
        <a:p>
          <a:pPr rtl="0">
            <a:defRPr sz="1400" b="1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24</xdr:row>
      <xdr:rowOff>114300</xdr:rowOff>
    </xdr:from>
    <xdr:to>
      <xdr:col>23</xdr:col>
      <xdr:colOff>590550</xdr:colOff>
      <xdr:row>43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24</xdr:row>
      <xdr:rowOff>123825</xdr:rowOff>
    </xdr:from>
    <xdr:to>
      <xdr:col>17</xdr:col>
      <xdr:colOff>523875</xdr:colOff>
      <xdr:row>43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7"/>
  <sheetViews>
    <sheetView tabSelected="1" zoomScale="89" zoomScaleNormal="70" workbookViewId="0">
      <selection activeCell="C19" sqref="C19"/>
    </sheetView>
  </sheetViews>
  <sheetFormatPr baseColWidth="10" defaultColWidth="9.1640625" defaultRowHeight="15" x14ac:dyDescent="0.2"/>
  <cols>
    <col min="1" max="1" width="3.33203125" style="4" customWidth="1"/>
    <col min="2" max="2" width="22" style="3" customWidth="1"/>
    <col min="3" max="3" width="25.6640625" style="3" customWidth="1"/>
    <col min="4" max="4" width="8.83203125" style="3"/>
    <col min="5" max="5" width="26.6640625" style="4" customWidth="1"/>
    <col min="6" max="6" width="3" style="4" customWidth="1"/>
    <col min="7" max="7" width="12.1640625" style="3" customWidth="1"/>
    <col min="8" max="8" width="18.83203125" style="3" bestFit="1" customWidth="1"/>
    <col min="9" max="9" width="8.83203125" style="3"/>
    <col min="10" max="10" width="23.1640625" style="4" bestFit="1" customWidth="1"/>
    <col min="11" max="11" width="2.33203125" style="4" customWidth="1"/>
    <col min="12" max="12" width="10.33203125" style="4" customWidth="1"/>
    <col min="13" max="13" width="12.5" style="4" customWidth="1"/>
    <col min="14" max="14" width="9.1640625" style="4" customWidth="1"/>
    <col min="15" max="15" width="25.6640625" style="4" bestFit="1" customWidth="1"/>
    <col min="16" max="16" width="2.33203125" style="4" customWidth="1"/>
    <col min="17" max="24" width="9.1640625" style="4"/>
    <col min="25" max="25" width="3.5" style="4" customWidth="1"/>
    <col min="26" max="16384" width="9.1640625" style="4"/>
  </cols>
  <sheetData>
    <row r="1" spans="1:38" x14ac:dyDescent="0.2">
      <c r="A1" s="146"/>
      <c r="B1" s="147"/>
      <c r="C1" s="147"/>
      <c r="D1" s="147"/>
      <c r="E1" s="146"/>
      <c r="F1" s="146"/>
      <c r="G1" s="147"/>
      <c r="H1" s="147"/>
      <c r="I1" s="147"/>
      <c r="J1" s="146"/>
      <c r="K1" s="146"/>
      <c r="L1" s="146"/>
      <c r="M1" s="146"/>
      <c r="N1" s="146"/>
      <c r="O1" s="146"/>
      <c r="P1" s="146"/>
    </row>
    <row r="2" spans="1:38" ht="21" x14ac:dyDescent="0.25">
      <c r="A2" s="146"/>
      <c r="B2" s="57" t="s">
        <v>0</v>
      </c>
      <c r="H2" s="118" t="s">
        <v>1</v>
      </c>
      <c r="I2" s="132" t="s">
        <v>2</v>
      </c>
      <c r="J2" s="158" t="s">
        <v>3</v>
      </c>
      <c r="P2" s="146"/>
      <c r="AH2" t="s">
        <v>4</v>
      </c>
      <c r="AI2"/>
      <c r="AJ2"/>
      <c r="AK2"/>
      <c r="AL2"/>
    </row>
    <row r="3" spans="1:38" ht="12" customHeight="1" x14ac:dyDescent="0.25">
      <c r="A3" s="146"/>
      <c r="B3" s="2"/>
      <c r="P3" s="146"/>
      <c r="AH3" s="33" t="s">
        <v>5</v>
      </c>
      <c r="AI3" s="38">
        <f>C7</f>
        <v>56.480084985771754</v>
      </c>
      <c r="AJ3" s="28"/>
      <c r="AK3"/>
      <c r="AL3"/>
    </row>
    <row r="4" spans="1:38" ht="16" x14ac:dyDescent="0.2">
      <c r="A4" s="146"/>
      <c r="B4" s="5" t="s">
        <v>6</v>
      </c>
      <c r="G4" s="5" t="s">
        <v>7</v>
      </c>
      <c r="L4" s="94" t="s">
        <v>8</v>
      </c>
      <c r="M4" s="93"/>
      <c r="N4" s="93"/>
      <c r="P4" s="146"/>
      <c r="AH4" s="35" t="s">
        <v>9</v>
      </c>
      <c r="AI4" s="33" t="s">
        <v>10</v>
      </c>
      <c r="AJ4" s="33" t="s">
        <v>11</v>
      </c>
      <c r="AK4" t="s">
        <v>10</v>
      </c>
      <c r="AL4" t="s">
        <v>11</v>
      </c>
    </row>
    <row r="5" spans="1:38" x14ac:dyDescent="0.2">
      <c r="A5" s="146"/>
      <c r="B5" s="133" t="s">
        <v>12</v>
      </c>
      <c r="C5" s="133" t="s">
        <v>13</v>
      </c>
      <c r="D5" s="133" t="s">
        <v>14</v>
      </c>
      <c r="E5" s="133" t="s">
        <v>15</v>
      </c>
      <c r="G5" s="133" t="s">
        <v>16</v>
      </c>
      <c r="H5" s="159" t="s">
        <v>172</v>
      </c>
      <c r="I5" s="139" t="str">
        <f>VLOOKUP($H$5,'Additional Data'!$B$3:$E$5,2)</f>
        <v>CdTe - Thin Film</v>
      </c>
      <c r="J5" s="138"/>
      <c r="L5" s="141" t="s">
        <v>18</v>
      </c>
      <c r="M5" s="141" t="s">
        <v>19</v>
      </c>
      <c r="N5" s="142"/>
      <c r="P5" s="146"/>
      <c r="AH5" s="34">
        <v>0</v>
      </c>
      <c r="AI5" s="35">
        <v>0</v>
      </c>
      <c r="AJ5" s="35">
        <v>0</v>
      </c>
      <c r="AK5">
        <f>-AI5</f>
        <v>0</v>
      </c>
      <c r="AL5">
        <f>AJ5</f>
        <v>0</v>
      </c>
    </row>
    <row r="6" spans="1:38" x14ac:dyDescent="0.2">
      <c r="A6" s="146"/>
      <c r="B6" s="6" t="s">
        <v>20</v>
      </c>
      <c r="C6" s="120">
        <f>C9/C7</f>
        <v>1.9475891374404053</v>
      </c>
      <c r="D6" s="6" t="s">
        <v>21</v>
      </c>
      <c r="E6" s="7" t="s">
        <v>22</v>
      </c>
      <c r="G6" s="134" t="s">
        <v>12</v>
      </c>
      <c r="H6" s="134" t="s">
        <v>13</v>
      </c>
      <c r="I6" s="134" t="s">
        <v>14</v>
      </c>
      <c r="J6" s="134" t="s">
        <v>15</v>
      </c>
      <c r="L6" s="55">
        <f>H37</f>
        <v>7216</v>
      </c>
      <c r="M6" s="55">
        <f>H24*9.81</f>
        <v>6989.3134929126427</v>
      </c>
      <c r="N6" s="8" t="str">
        <f>IF(L6&gt;M6,"Pass","Fail")</f>
        <v>Pass</v>
      </c>
      <c r="P6" s="148"/>
      <c r="AH6" s="36">
        <v>1</v>
      </c>
      <c r="AI6" s="39">
        <f>0.45*C7/2</f>
        <v>12.708019121798644</v>
      </c>
      <c r="AJ6" s="39">
        <v>0</v>
      </c>
      <c r="AK6" s="39">
        <f t="shared" ref="AK6:AK13" si="0">-AI6</f>
        <v>-12.708019121798644</v>
      </c>
      <c r="AL6" s="39">
        <f t="shared" ref="AL6:AL13" si="1">AJ6</f>
        <v>0</v>
      </c>
    </row>
    <row r="7" spans="1:38" x14ac:dyDescent="0.2">
      <c r="A7" s="146"/>
      <c r="B7" s="6" t="s">
        <v>23</v>
      </c>
      <c r="C7" s="120">
        <f>SQRT(C8*C9)</f>
        <v>56.480084985771754</v>
      </c>
      <c r="D7" s="6" t="s">
        <v>21</v>
      </c>
      <c r="E7" s="7" t="s">
        <v>24</v>
      </c>
      <c r="G7" s="6" t="s">
        <v>25</v>
      </c>
      <c r="H7" s="160">
        <f>VLOOKUP($H$5,'Additional Data'!$B$3:$E$5,3)</f>
        <v>0.17</v>
      </c>
      <c r="I7" s="105" t="s">
        <v>26</v>
      </c>
      <c r="J7" s="7" t="s">
        <v>27</v>
      </c>
      <c r="L7" s="143" t="s">
        <v>28</v>
      </c>
      <c r="M7" s="143" t="s">
        <v>29</v>
      </c>
      <c r="N7" s="144"/>
      <c r="P7" s="146"/>
      <c r="AH7" s="36">
        <v>2</v>
      </c>
      <c r="AI7" s="39">
        <f>AI6</f>
        <v>12.708019121798644</v>
      </c>
      <c r="AJ7" s="39">
        <f>C6/2</f>
        <v>0.97379456872020265</v>
      </c>
      <c r="AK7" s="39">
        <f t="shared" si="0"/>
        <v>-12.708019121798644</v>
      </c>
      <c r="AL7" s="39">
        <f t="shared" si="1"/>
        <v>0.97379456872020265</v>
      </c>
    </row>
    <row r="8" spans="1:38" x14ac:dyDescent="0.2">
      <c r="A8" s="146"/>
      <c r="B8" s="6" t="s">
        <v>30</v>
      </c>
      <c r="C8" s="166">
        <v>29</v>
      </c>
      <c r="D8" s="6" t="s">
        <v>26</v>
      </c>
      <c r="E8" s="7" t="s">
        <v>31</v>
      </c>
      <c r="G8" s="6" t="s">
        <v>32</v>
      </c>
      <c r="H8" s="161">
        <f>VLOOKUP($H$5,'Additional Data'!$B$3:$E$5,4)</f>
        <v>0.68</v>
      </c>
      <c r="I8" s="105" t="s">
        <v>33</v>
      </c>
      <c r="J8" s="7" t="s">
        <v>34</v>
      </c>
      <c r="L8" s="55">
        <f>C18</f>
        <v>46</v>
      </c>
      <c r="M8" s="55">
        <f>H38</f>
        <v>30.65507700931877</v>
      </c>
      <c r="N8" s="8" t="str">
        <f>IF(L8&gt;M8,"Pass","Fail")</f>
        <v>Pass</v>
      </c>
      <c r="P8" s="146"/>
      <c r="R8" s="171"/>
      <c r="AH8" s="36">
        <v>3</v>
      </c>
      <c r="AI8" s="39">
        <f>0.03*C7/2</f>
        <v>0.84720127478657625</v>
      </c>
      <c r="AJ8" s="39">
        <f>AJ7*2</f>
        <v>1.9475891374404053</v>
      </c>
      <c r="AK8" s="39">
        <f t="shared" si="0"/>
        <v>-0.84720127478657625</v>
      </c>
      <c r="AL8" s="39">
        <f t="shared" si="1"/>
        <v>1.9475891374404053</v>
      </c>
    </row>
    <row r="9" spans="1:38" x14ac:dyDescent="0.2">
      <c r="A9" s="146"/>
      <c r="B9" s="10" t="s">
        <v>35</v>
      </c>
      <c r="C9" s="167">
        <v>110</v>
      </c>
      <c r="D9" s="10" t="s">
        <v>36</v>
      </c>
      <c r="E9" s="11" t="s">
        <v>37</v>
      </c>
      <c r="G9" s="12" t="s">
        <v>38</v>
      </c>
      <c r="H9" s="125">
        <f>H7*C9*300/1000</f>
        <v>5.6100000000000012</v>
      </c>
      <c r="I9" s="12" t="s">
        <v>39</v>
      </c>
      <c r="J9" s="13" t="s">
        <v>40</v>
      </c>
      <c r="L9" s="141" t="s">
        <v>38</v>
      </c>
      <c r="M9" s="141" t="s">
        <v>41</v>
      </c>
      <c r="N9" s="145"/>
      <c r="P9" s="149"/>
      <c r="AH9" s="36">
        <v>4</v>
      </c>
      <c r="AI9" s="39">
        <f>0.08*C7/2</f>
        <v>2.25920339943087</v>
      </c>
      <c r="AJ9" s="39">
        <f>0.55*AI3-C6/2</f>
        <v>30.090252173454267</v>
      </c>
      <c r="AK9" s="39">
        <f t="shared" si="0"/>
        <v>-2.25920339943087</v>
      </c>
      <c r="AL9" s="39">
        <f t="shared" si="1"/>
        <v>30.090252173454267</v>
      </c>
    </row>
    <row r="10" spans="1:38" x14ac:dyDescent="0.2">
      <c r="A10" s="146"/>
      <c r="B10" s="21"/>
      <c r="C10" s="20"/>
      <c r="D10" s="20"/>
      <c r="E10" s="21"/>
      <c r="G10" s="26"/>
      <c r="H10" s="22"/>
      <c r="I10" s="22"/>
      <c r="J10" s="25"/>
      <c r="L10" s="88">
        <f>H9</f>
        <v>5.6100000000000012</v>
      </c>
      <c r="M10" s="88">
        <f>(C16+C40)</f>
        <v>5</v>
      </c>
      <c r="N10" s="92" t="str">
        <f>IF(L10&gt;M10,"Pass","Fail")</f>
        <v>Pass</v>
      </c>
      <c r="P10" s="146"/>
      <c r="AH10" s="36">
        <v>5</v>
      </c>
      <c r="AI10" s="39">
        <f>C7/2</f>
        <v>28.240042492885877</v>
      </c>
      <c r="AJ10" s="39">
        <f>AJ9</f>
        <v>30.090252173454267</v>
      </c>
      <c r="AK10" s="39">
        <f t="shared" si="0"/>
        <v>-28.240042492885877</v>
      </c>
      <c r="AL10" s="39">
        <f t="shared" si="1"/>
        <v>30.090252173454267</v>
      </c>
    </row>
    <row r="11" spans="1:38" ht="16" x14ac:dyDescent="0.2">
      <c r="A11" s="146"/>
      <c r="B11" s="5" t="s">
        <v>42</v>
      </c>
      <c r="G11" s="14" t="s">
        <v>43</v>
      </c>
      <c r="L11" s="21"/>
      <c r="M11" s="29"/>
      <c r="N11" s="20"/>
      <c r="O11" s="23"/>
      <c r="P11" s="146"/>
      <c r="AH11" s="36">
        <v>6</v>
      </c>
      <c r="AI11" s="39">
        <f>AI10</f>
        <v>28.240042492885877</v>
      </c>
      <c r="AJ11" s="39">
        <f>AJ10+C6</f>
        <v>32.03784131089467</v>
      </c>
      <c r="AK11" s="39">
        <f t="shared" si="0"/>
        <v>-28.240042492885877</v>
      </c>
      <c r="AL11" s="39">
        <f t="shared" si="1"/>
        <v>32.03784131089467</v>
      </c>
    </row>
    <row r="12" spans="1:38" ht="19" x14ac:dyDescent="0.25">
      <c r="A12" s="146"/>
      <c r="B12" s="133" t="s">
        <v>44</v>
      </c>
      <c r="C12" s="159" t="s">
        <v>195</v>
      </c>
      <c r="D12" s="135"/>
      <c r="E12" s="136"/>
      <c r="G12" s="133" t="s">
        <v>44</v>
      </c>
      <c r="H12" s="159" t="s">
        <v>179</v>
      </c>
      <c r="I12" s="136"/>
      <c r="J12" s="136"/>
      <c r="L12" s="1" t="s">
        <v>47</v>
      </c>
      <c r="P12" s="146"/>
      <c r="AH12" s="36">
        <v>7</v>
      </c>
      <c r="AI12" s="39">
        <f>AI9</f>
        <v>2.25920339943087</v>
      </c>
      <c r="AJ12" s="39">
        <f>AJ11</f>
        <v>32.03784131089467</v>
      </c>
      <c r="AK12" s="39">
        <f t="shared" si="0"/>
        <v>-2.25920339943087</v>
      </c>
      <c r="AL12" s="39">
        <f t="shared" si="1"/>
        <v>32.03784131089467</v>
      </c>
    </row>
    <row r="13" spans="1:38" ht="16" x14ac:dyDescent="0.2">
      <c r="A13" s="146"/>
      <c r="B13" s="134" t="s">
        <v>12</v>
      </c>
      <c r="C13" s="134" t="s">
        <v>13</v>
      </c>
      <c r="D13" s="134" t="s">
        <v>14</v>
      </c>
      <c r="E13" s="134" t="s">
        <v>15</v>
      </c>
      <c r="G13" s="134" t="s">
        <v>12</v>
      </c>
      <c r="H13" s="134" t="s">
        <v>13</v>
      </c>
      <c r="I13" s="134" t="s">
        <v>14</v>
      </c>
      <c r="J13" s="134" t="s">
        <v>15</v>
      </c>
      <c r="L13" s="140" t="s">
        <v>12</v>
      </c>
      <c r="M13" s="140" t="s">
        <v>13</v>
      </c>
      <c r="N13" s="140" t="s">
        <v>14</v>
      </c>
      <c r="O13" s="140" t="s">
        <v>15</v>
      </c>
      <c r="P13" s="146"/>
      <c r="AH13" s="36">
        <v>8</v>
      </c>
      <c r="AI13" s="39">
        <v>0</v>
      </c>
      <c r="AJ13" s="39">
        <f>AI3</f>
        <v>56.480084985771754</v>
      </c>
      <c r="AK13" s="39">
        <f t="shared" si="0"/>
        <v>0</v>
      </c>
      <c r="AL13" s="39">
        <f t="shared" si="1"/>
        <v>56.480084985771754</v>
      </c>
    </row>
    <row r="14" spans="1:38" ht="16" x14ac:dyDescent="0.2">
      <c r="A14" s="146"/>
      <c r="B14" s="6" t="s">
        <v>48</v>
      </c>
      <c r="C14" s="163">
        <f>VLOOKUP(C12,'Additional Data'!B23:G26,3)</f>
        <v>0.99</v>
      </c>
      <c r="D14" s="6" t="s">
        <v>26</v>
      </c>
      <c r="E14" s="9" t="s">
        <v>49</v>
      </c>
      <c r="G14" s="42" t="s">
        <v>50</v>
      </c>
      <c r="H14" s="124">
        <f>(H9)*1000</f>
        <v>5610.0000000000009</v>
      </c>
      <c r="I14" s="42" t="s">
        <v>51</v>
      </c>
      <c r="J14" s="95" t="s">
        <v>52</v>
      </c>
      <c r="L14" s="16" t="s">
        <v>53</v>
      </c>
      <c r="M14" s="90">
        <f>H40</f>
        <v>38.220097087533901</v>
      </c>
      <c r="N14" s="16" t="s">
        <v>54</v>
      </c>
      <c r="O14" s="90" t="str">
        <f>J40</f>
        <v>Endurance</v>
      </c>
      <c r="P14" s="146"/>
    </row>
    <row r="15" spans="1:38" ht="16" x14ac:dyDescent="0.2">
      <c r="A15" s="146"/>
      <c r="B15" s="6" t="s">
        <v>55</v>
      </c>
      <c r="C15" s="164">
        <f>VLOOKUP(C12,'Additional Data'!B23:G26,2)</f>
        <v>2.25</v>
      </c>
      <c r="D15" s="6" t="s">
        <v>39</v>
      </c>
      <c r="E15" s="9" t="s">
        <v>56</v>
      </c>
      <c r="G15" s="40" t="s">
        <v>57</v>
      </c>
      <c r="H15" s="162">
        <f>VLOOKUP(H12,'Additional Data'!B8:C12,2)</f>
        <v>150</v>
      </c>
      <c r="I15" s="40" t="s">
        <v>58</v>
      </c>
      <c r="J15" s="41" t="s">
        <v>59</v>
      </c>
      <c r="L15" s="17" t="s">
        <v>60</v>
      </c>
      <c r="M15" s="89">
        <f>H41</f>
        <v>1808.6438223094181</v>
      </c>
      <c r="N15" s="17" t="s">
        <v>61</v>
      </c>
      <c r="O15" s="89" t="str">
        <f>J41</f>
        <v>Range</v>
      </c>
      <c r="P15" s="146"/>
      <c r="AH15" s="4" t="s">
        <v>62</v>
      </c>
    </row>
    <row r="16" spans="1:38" ht="16" x14ac:dyDescent="0.2">
      <c r="A16" s="146"/>
      <c r="B16" s="6" t="s">
        <v>63</v>
      </c>
      <c r="C16" s="119">
        <f>C15*C19</f>
        <v>2.25</v>
      </c>
      <c r="D16" s="6" t="s">
        <v>39</v>
      </c>
      <c r="E16" s="9" t="s">
        <v>64</v>
      </c>
      <c r="G16" s="27"/>
      <c r="H16" s="20"/>
      <c r="I16" s="27"/>
      <c r="J16" s="28"/>
      <c r="L16" s="17" t="s">
        <v>65</v>
      </c>
      <c r="M16" s="89">
        <f>C36</f>
        <v>47.321800836014525</v>
      </c>
      <c r="N16" s="17" t="s">
        <v>51</v>
      </c>
      <c r="O16" s="17" t="s">
        <v>66</v>
      </c>
      <c r="P16" s="146"/>
      <c r="AH16" s="4" t="s">
        <v>67</v>
      </c>
    </row>
    <row r="17" spans="1:34" ht="16" x14ac:dyDescent="0.2">
      <c r="A17" s="146"/>
      <c r="B17" s="6" t="s">
        <v>68</v>
      </c>
      <c r="C17" s="165">
        <f>VLOOKUP(C12,'Additional Data'!B23:G26,4)</f>
        <v>46</v>
      </c>
      <c r="D17" s="6" t="s">
        <v>69</v>
      </c>
      <c r="E17" s="9" t="s">
        <v>70</v>
      </c>
      <c r="G17" s="5" t="s">
        <v>71</v>
      </c>
      <c r="L17" s="17" t="s">
        <v>72</v>
      </c>
      <c r="M17" s="89">
        <f>H24</f>
        <v>712.46824596459146</v>
      </c>
      <c r="N17" s="17" t="s">
        <v>73</v>
      </c>
      <c r="O17" s="89" t="str">
        <f>J24</f>
        <v>Total Mass</v>
      </c>
      <c r="P17" s="146"/>
      <c r="AH17" s="4" t="s">
        <v>42</v>
      </c>
    </row>
    <row r="18" spans="1:34" ht="16" x14ac:dyDescent="0.2">
      <c r="A18" s="146"/>
      <c r="B18" s="6" t="s">
        <v>74</v>
      </c>
      <c r="C18" s="119">
        <f>C19*C17</f>
        <v>46</v>
      </c>
      <c r="D18" s="6" t="s">
        <v>69</v>
      </c>
      <c r="E18" s="9" t="s">
        <v>75</v>
      </c>
      <c r="G18" s="133" t="s">
        <v>12</v>
      </c>
      <c r="H18" s="133" t="s">
        <v>13</v>
      </c>
      <c r="I18" s="133" t="s">
        <v>14</v>
      </c>
      <c r="J18" s="133" t="s">
        <v>15</v>
      </c>
      <c r="L18" s="18" t="s">
        <v>76</v>
      </c>
      <c r="M18" s="19">
        <f>H33</f>
        <v>220981.39729948746</v>
      </c>
      <c r="N18" s="18" t="s">
        <v>77</v>
      </c>
      <c r="O18" s="19" t="str">
        <f>J33</f>
        <v>Total Cost</v>
      </c>
      <c r="P18" s="146"/>
      <c r="Q18" s="52"/>
      <c r="AH18" s="4" t="s">
        <v>78</v>
      </c>
    </row>
    <row r="19" spans="1:34" x14ac:dyDescent="0.2">
      <c r="A19" s="146"/>
      <c r="B19" s="10" t="s">
        <v>79</v>
      </c>
      <c r="C19" s="168">
        <v>1</v>
      </c>
      <c r="D19" s="32" t="s">
        <v>26</v>
      </c>
      <c r="E19" s="15" t="s">
        <v>80</v>
      </c>
      <c r="G19" s="6" t="s">
        <v>81</v>
      </c>
      <c r="H19" s="126">
        <f>IF((0.0108*C9^2 + 7.3358*C9 - 383.14)*(0.6179*EXP(0.0298*C8))*(0.31)&gt;251,(0.0108*C9^2 + 7.3358*C9 - 383.14)*(0.5179*EXP(0.0298*C8))*(0.31),250)</f>
        <v>211.25607929792486</v>
      </c>
      <c r="I19" s="6" t="s">
        <v>73</v>
      </c>
      <c r="J19" s="9" t="s">
        <v>82</v>
      </c>
      <c r="K19" s="91"/>
      <c r="P19" s="146"/>
      <c r="AH19" s="4" t="s">
        <v>83</v>
      </c>
    </row>
    <row r="20" spans="1:34" x14ac:dyDescent="0.2">
      <c r="A20" s="146"/>
      <c r="B20" s="21"/>
      <c r="C20" s="22"/>
      <c r="D20" s="20"/>
      <c r="E20" s="23"/>
      <c r="G20" s="6" t="s">
        <v>84</v>
      </c>
      <c r="H20" s="126">
        <f>C19*(C14*0.7*C17+0.03*C15)</f>
        <v>31.945499999999996</v>
      </c>
      <c r="I20" s="6" t="s">
        <v>73</v>
      </c>
      <c r="J20" s="9" t="s">
        <v>85</v>
      </c>
      <c r="K20" s="91"/>
      <c r="P20" s="146"/>
      <c r="AH20" s="4" t="s">
        <v>86</v>
      </c>
    </row>
    <row r="21" spans="1:34" ht="16" x14ac:dyDescent="0.2">
      <c r="A21" s="146"/>
      <c r="B21" s="5" t="s">
        <v>78</v>
      </c>
      <c r="G21" s="6" t="s">
        <v>87</v>
      </c>
      <c r="H21" s="119">
        <f>(1+(C46/100))*SUM(C41:C45)*1.2</f>
        <v>363.3</v>
      </c>
      <c r="I21" s="6" t="s">
        <v>73</v>
      </c>
      <c r="J21" s="9" t="s">
        <v>88</v>
      </c>
      <c r="K21" s="91"/>
      <c r="P21" s="146"/>
    </row>
    <row r="22" spans="1:34" x14ac:dyDescent="0.2">
      <c r="A22" s="146"/>
      <c r="B22" s="137" t="s">
        <v>44</v>
      </c>
      <c r="C22" s="159" t="s">
        <v>89</v>
      </c>
      <c r="D22" s="136"/>
      <c r="E22" s="138"/>
      <c r="G22" s="6" t="s">
        <v>90</v>
      </c>
      <c r="H22" s="119">
        <f>H14*(1/H15)*(1/12)*10</f>
        <v>31.166666666666671</v>
      </c>
      <c r="I22" s="6" t="s">
        <v>73</v>
      </c>
      <c r="J22" s="9" t="s">
        <v>91</v>
      </c>
      <c r="K22" s="150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</row>
    <row r="23" spans="1:34" x14ac:dyDescent="0.2">
      <c r="A23" s="146"/>
      <c r="B23" s="134" t="s">
        <v>12</v>
      </c>
      <c r="C23" s="134" t="s">
        <v>13</v>
      </c>
      <c r="D23" s="134" t="s">
        <v>14</v>
      </c>
      <c r="E23" s="134" t="s">
        <v>15</v>
      </c>
      <c r="G23" s="6" t="s">
        <v>92</v>
      </c>
      <c r="H23" s="126">
        <f>C9*H8</f>
        <v>74.800000000000011</v>
      </c>
      <c r="I23" s="6" t="s">
        <v>73</v>
      </c>
      <c r="J23" s="9" t="s">
        <v>93</v>
      </c>
      <c r="K23" s="150"/>
      <c r="Y23" s="146"/>
    </row>
    <row r="24" spans="1:34" x14ac:dyDescent="0.2">
      <c r="A24" s="146"/>
      <c r="B24" s="6" t="s">
        <v>94</v>
      </c>
      <c r="C24" s="165" t="s">
        <v>103</v>
      </c>
      <c r="D24" s="6"/>
      <c r="E24" s="7" t="s">
        <v>96</v>
      </c>
      <c r="G24" s="10" t="s">
        <v>72</v>
      </c>
      <c r="H24" s="121">
        <f>H19+H20+H21+H22+H23</f>
        <v>712.46824596459146</v>
      </c>
      <c r="I24" s="10" t="s">
        <v>73</v>
      </c>
      <c r="J24" s="15" t="s">
        <v>97</v>
      </c>
      <c r="K24" s="151"/>
      <c r="M24" s="156" t="s">
        <v>98</v>
      </c>
      <c r="Y24" s="146"/>
    </row>
    <row r="25" spans="1:34" x14ac:dyDescent="0.2">
      <c r="A25" s="146"/>
      <c r="B25" s="6" t="s">
        <v>99</v>
      </c>
      <c r="C25" s="165" t="s">
        <v>100</v>
      </c>
      <c r="D25" s="6"/>
      <c r="E25" s="7" t="s">
        <v>101</v>
      </c>
      <c r="K25" s="151"/>
      <c r="Y25" s="146"/>
    </row>
    <row r="26" spans="1:34" ht="16" x14ac:dyDescent="0.2">
      <c r="A26" s="146"/>
      <c r="B26" s="6" t="s">
        <v>102</v>
      </c>
      <c r="C26" s="165" t="s">
        <v>103</v>
      </c>
      <c r="D26" s="6"/>
      <c r="E26" s="7" t="s">
        <v>104</v>
      </c>
      <c r="G26" s="5" t="s">
        <v>105</v>
      </c>
      <c r="H26" s="4"/>
      <c r="I26" s="4"/>
      <c r="J26" s="3"/>
      <c r="K26" s="152"/>
      <c r="Y26" s="146"/>
    </row>
    <row r="27" spans="1:34" ht="16" thickBot="1" x14ac:dyDescent="0.25">
      <c r="A27" s="146"/>
      <c r="B27" s="6" t="s">
        <v>106</v>
      </c>
      <c r="C27" s="165" t="s">
        <v>100</v>
      </c>
      <c r="D27" s="6"/>
      <c r="E27" s="7" t="s">
        <v>108</v>
      </c>
      <c r="G27" s="133" t="s">
        <v>12</v>
      </c>
      <c r="H27" s="133" t="s">
        <v>13</v>
      </c>
      <c r="I27" s="133" t="s">
        <v>14</v>
      </c>
      <c r="J27" s="133" t="s">
        <v>15</v>
      </c>
      <c r="K27" s="151"/>
      <c r="Y27" s="146"/>
    </row>
    <row r="28" spans="1:34" x14ac:dyDescent="0.2">
      <c r="A28" s="172" t="s">
        <v>109</v>
      </c>
      <c r="B28" s="98" t="s">
        <v>110</v>
      </c>
      <c r="C28" s="170">
        <v>750</v>
      </c>
      <c r="D28" s="98" t="s">
        <v>51</v>
      </c>
      <c r="E28" s="99" t="s">
        <v>111</v>
      </c>
      <c r="G28" s="6" t="s">
        <v>112</v>
      </c>
      <c r="H28" s="127">
        <f>Cost!C5</f>
        <v>106473.06396615412</v>
      </c>
      <c r="I28" s="6" t="s">
        <v>77</v>
      </c>
      <c r="J28" s="9" t="s">
        <v>113</v>
      </c>
      <c r="K28" s="146"/>
      <c r="Y28" s="146"/>
    </row>
    <row r="29" spans="1:34" x14ac:dyDescent="0.2">
      <c r="A29" s="173"/>
      <c r="B29" s="6" t="s">
        <v>114</v>
      </c>
      <c r="C29" s="169">
        <f>10*LOG10(C28/10)</f>
        <v>18.750612633917001</v>
      </c>
      <c r="D29" s="6" t="s">
        <v>115</v>
      </c>
      <c r="E29" s="100" t="s">
        <v>116</v>
      </c>
      <c r="G29" s="6" t="s">
        <v>117</v>
      </c>
      <c r="H29" s="128">
        <f>Cost!H5</f>
        <v>35000</v>
      </c>
      <c r="I29" s="6" t="s">
        <v>77</v>
      </c>
      <c r="J29" s="9" t="s">
        <v>118</v>
      </c>
      <c r="K29" s="146"/>
      <c r="Y29" s="146"/>
    </row>
    <row r="30" spans="1:34" x14ac:dyDescent="0.2">
      <c r="A30" s="173"/>
      <c r="B30" s="6" t="s">
        <v>119</v>
      </c>
      <c r="C30" s="165">
        <f>VLOOKUP(C24,'Additional Data'!$B$15:$E$17,3)</f>
        <v>3</v>
      </c>
      <c r="D30" s="6" t="s">
        <v>120</v>
      </c>
      <c r="E30" s="100" t="s">
        <v>121</v>
      </c>
      <c r="G30" s="6" t="s">
        <v>122</v>
      </c>
      <c r="H30" s="128">
        <f>Cost!M5</f>
        <v>67500</v>
      </c>
      <c r="I30" s="6" t="s">
        <v>77</v>
      </c>
      <c r="J30" s="9" t="s">
        <v>123</v>
      </c>
      <c r="K30" s="146"/>
      <c r="Y30" s="146"/>
    </row>
    <row r="31" spans="1:34" ht="15.75" customHeight="1" x14ac:dyDescent="0.2">
      <c r="A31" s="173"/>
      <c r="B31" s="6" t="s">
        <v>124</v>
      </c>
      <c r="C31" s="165">
        <v>2</v>
      </c>
      <c r="D31" s="6" t="s">
        <v>120</v>
      </c>
      <c r="E31" s="100" t="s">
        <v>125</v>
      </c>
      <c r="G31" s="6" t="s">
        <v>126</v>
      </c>
      <c r="H31" s="128">
        <f>Cost!R5</f>
        <v>1558.3333333333335</v>
      </c>
      <c r="I31" s="6" t="s">
        <v>77</v>
      </c>
      <c r="J31" s="9" t="s">
        <v>127</v>
      </c>
      <c r="K31" s="146"/>
      <c r="L31" s="30"/>
      <c r="M31" s="23"/>
      <c r="Y31" s="146"/>
    </row>
    <row r="32" spans="1:34" ht="15.75" customHeight="1" x14ac:dyDescent="0.2">
      <c r="A32" s="173"/>
      <c r="B32" s="6" t="s">
        <v>128</v>
      </c>
      <c r="C32" s="165">
        <f>VLOOKUP(C25,'Additional Data'!$B$18:$E$20,3)</f>
        <v>-5</v>
      </c>
      <c r="D32" s="6" t="s">
        <v>120</v>
      </c>
      <c r="E32" s="100" t="s">
        <v>129</v>
      </c>
      <c r="G32" s="6" t="s">
        <v>130</v>
      </c>
      <c r="H32" s="128">
        <f>Cost!W5</f>
        <v>10450</v>
      </c>
      <c r="I32" s="6" t="s">
        <v>77</v>
      </c>
      <c r="J32" s="9" t="s">
        <v>131</v>
      </c>
      <c r="K32" s="146"/>
      <c r="Y32" s="146"/>
    </row>
    <row r="33" spans="1:25" ht="15.75" customHeight="1" x14ac:dyDescent="0.2">
      <c r="A33" s="173"/>
      <c r="B33" s="6" t="s">
        <v>132</v>
      </c>
      <c r="C33" s="165">
        <f>VLOOKUP(C26,'Additional Data'!$B$15:$E$17,3)</f>
        <v>3</v>
      </c>
      <c r="D33" s="6" t="s">
        <v>120</v>
      </c>
      <c r="E33" s="100" t="s">
        <v>133</v>
      </c>
      <c r="G33" s="10" t="s">
        <v>76</v>
      </c>
      <c r="H33" s="129">
        <f>SUM(H28:H32)</f>
        <v>220981.39729948746</v>
      </c>
      <c r="I33" s="10" t="s">
        <v>77</v>
      </c>
      <c r="J33" s="15" t="s">
        <v>134</v>
      </c>
      <c r="K33" s="146"/>
      <c r="Y33" s="146"/>
    </row>
    <row r="34" spans="1:25" ht="15.75" customHeight="1" x14ac:dyDescent="0.2">
      <c r="A34" s="173"/>
      <c r="B34" s="6" t="s">
        <v>135</v>
      </c>
      <c r="C34" s="165">
        <f>VLOOKUP(C27,'Additional Data'!$B$18:$E$20,3)</f>
        <v>-5</v>
      </c>
      <c r="D34" s="6" t="s">
        <v>120</v>
      </c>
      <c r="E34" s="100" t="s">
        <v>136</v>
      </c>
      <c r="K34" s="146"/>
      <c r="Y34" s="146"/>
    </row>
    <row r="35" spans="1:25" ht="16" x14ac:dyDescent="0.2">
      <c r="A35" s="173"/>
      <c r="B35" s="6" t="s">
        <v>137</v>
      </c>
      <c r="C35" s="119">
        <f>SUM(C29:C34)</f>
        <v>16.750612633917001</v>
      </c>
      <c r="D35" s="6" t="s">
        <v>115</v>
      </c>
      <c r="E35" s="100" t="s">
        <v>138</v>
      </c>
      <c r="G35" s="5" t="s">
        <v>146</v>
      </c>
      <c r="K35" s="146"/>
      <c r="Y35" s="146"/>
    </row>
    <row r="36" spans="1:25" ht="16" thickBot="1" x14ac:dyDescent="0.25">
      <c r="A36" s="174"/>
      <c r="B36" s="101" t="s">
        <v>139</v>
      </c>
      <c r="C36" s="122">
        <f>10^(C35/10)</f>
        <v>47.321800836014525</v>
      </c>
      <c r="D36" s="102" t="s">
        <v>51</v>
      </c>
      <c r="E36" s="103" t="str">
        <f>IF((OR(C36&lt;25, C36&gt;50)),"Fail","Pass")</f>
        <v>Pass</v>
      </c>
      <c r="G36" s="133" t="s">
        <v>12</v>
      </c>
      <c r="H36" s="133" t="s">
        <v>13</v>
      </c>
      <c r="I36" s="133" t="s">
        <v>14</v>
      </c>
      <c r="J36" s="133" t="s">
        <v>15</v>
      </c>
      <c r="K36" s="146"/>
      <c r="Y36" s="146"/>
    </row>
    <row r="37" spans="1:25" x14ac:dyDescent="0.2">
      <c r="A37" s="146"/>
      <c r="B37" s="6" t="s">
        <v>140</v>
      </c>
      <c r="C37" s="164">
        <f>VLOOKUP(C24,'Additional Data'!$B$15:$E$17,4)</f>
        <v>0.75</v>
      </c>
      <c r="D37" s="6" t="s">
        <v>39</v>
      </c>
      <c r="E37" s="7" t="s">
        <v>141</v>
      </c>
      <c r="G37" s="6" t="s">
        <v>151</v>
      </c>
      <c r="H37" s="126">
        <f>58*C9*(1.2-2/C8)</f>
        <v>7216</v>
      </c>
      <c r="I37" s="6" t="s">
        <v>69</v>
      </c>
      <c r="J37" s="9" t="s">
        <v>18</v>
      </c>
      <c r="K37" s="146"/>
      <c r="Y37" s="146"/>
    </row>
    <row r="38" spans="1:25" ht="16" x14ac:dyDescent="0.2">
      <c r="A38" s="146"/>
      <c r="B38" s="6" t="s">
        <v>142</v>
      </c>
      <c r="C38" s="164">
        <v>0.5</v>
      </c>
      <c r="D38" s="6" t="s">
        <v>39</v>
      </c>
      <c r="E38" s="53" t="s">
        <v>143</v>
      </c>
      <c r="G38" s="6" t="s">
        <v>154</v>
      </c>
      <c r="H38" s="130">
        <f>(1*C9)*(0.75*C19)*EXP(-1*C14)</f>
        <v>30.65507700931877</v>
      </c>
      <c r="I38" s="6" t="s">
        <v>69</v>
      </c>
      <c r="J38" s="9" t="s">
        <v>29</v>
      </c>
      <c r="K38" s="146"/>
      <c r="Y38" s="146"/>
    </row>
    <row r="39" spans="1:25" ht="15" customHeight="1" x14ac:dyDescent="0.2">
      <c r="A39" s="146"/>
      <c r="B39" s="6" t="s">
        <v>144</v>
      </c>
      <c r="C39" s="164">
        <f>VLOOKUP(C26,'Additional Data'!$B$15:$E$17,4)</f>
        <v>0.75</v>
      </c>
      <c r="D39" s="6" t="s">
        <v>39</v>
      </c>
      <c r="E39" s="53" t="s">
        <v>145</v>
      </c>
      <c r="F39" s="56"/>
      <c r="G39" s="6" t="s">
        <v>157</v>
      </c>
      <c r="H39" s="130">
        <f>H37/H38</f>
        <v>235.39330851481546</v>
      </c>
      <c r="I39" s="6" t="s">
        <v>69</v>
      </c>
      <c r="J39" s="9" t="s">
        <v>158</v>
      </c>
      <c r="K39" s="146"/>
      <c r="Y39" s="146"/>
    </row>
    <row r="40" spans="1:25" ht="16" x14ac:dyDescent="0.2">
      <c r="A40" s="146"/>
      <c r="B40" s="10" t="s">
        <v>147</v>
      </c>
      <c r="C40" s="123">
        <f>SUM(C37:C39)+C28/1000</f>
        <v>2.75</v>
      </c>
      <c r="D40" s="10" t="s">
        <v>39</v>
      </c>
      <c r="E40" s="54" t="s">
        <v>148</v>
      </c>
      <c r="F40" s="37"/>
      <c r="G40" s="6" t="s">
        <v>53</v>
      </c>
      <c r="H40" s="130">
        <f>50/(1+EXP(-0.005*H39))</f>
        <v>38.220097087533901</v>
      </c>
      <c r="I40" s="6" t="s">
        <v>161</v>
      </c>
      <c r="J40" s="9" t="s">
        <v>162</v>
      </c>
      <c r="K40" s="146"/>
      <c r="Y40" s="146"/>
    </row>
    <row r="41" spans="1:25" x14ac:dyDescent="0.2">
      <c r="A41" s="146"/>
      <c r="B41" s="6" t="s">
        <v>149</v>
      </c>
      <c r="C41" s="165">
        <f>VLOOKUP(C24,'Additional Data'!$B$15:$E$17,2)</f>
        <v>50</v>
      </c>
      <c r="D41" s="6" t="s">
        <v>73</v>
      </c>
      <c r="E41" s="7" t="s">
        <v>150</v>
      </c>
      <c r="G41" s="10" t="s">
        <v>60</v>
      </c>
      <c r="H41" s="131">
        <f>H40*C36*1</f>
        <v>1808.6438223094181</v>
      </c>
      <c r="I41" s="10" t="s">
        <v>61</v>
      </c>
      <c r="J41" s="15" t="s">
        <v>165</v>
      </c>
      <c r="K41" s="146"/>
      <c r="Y41" s="146"/>
    </row>
    <row r="42" spans="1:25" ht="16" x14ac:dyDescent="0.2">
      <c r="A42" s="146"/>
      <c r="B42" s="6" t="s">
        <v>152</v>
      </c>
      <c r="C42" s="165">
        <v>37</v>
      </c>
      <c r="D42" s="6" t="s">
        <v>73</v>
      </c>
      <c r="E42" s="53" t="s">
        <v>153</v>
      </c>
      <c r="F42" s="146"/>
      <c r="G42" s="147"/>
      <c r="H42" s="147"/>
      <c r="I42" s="147"/>
      <c r="J42" s="146"/>
      <c r="K42" s="146"/>
      <c r="Y42" s="146"/>
    </row>
    <row r="43" spans="1:25" ht="16" x14ac:dyDescent="0.2">
      <c r="A43" s="146"/>
      <c r="B43" s="6" t="s">
        <v>155</v>
      </c>
      <c r="C43" s="165">
        <f>VLOOKUP(C25,'Additional Data'!$B$18:$E$20,2)</f>
        <v>18</v>
      </c>
      <c r="D43" s="6" t="s">
        <v>73</v>
      </c>
      <c r="E43" s="53" t="s">
        <v>156</v>
      </c>
      <c r="F43" s="152"/>
      <c r="K43" s="146"/>
      <c r="Y43" s="146"/>
    </row>
    <row r="44" spans="1:25" ht="16" x14ac:dyDescent="0.2">
      <c r="A44" s="146"/>
      <c r="B44" s="6" t="s">
        <v>159</v>
      </c>
      <c r="C44" s="165">
        <f>VLOOKUP(C26,'Additional Data'!$B$15:$E$17,2)</f>
        <v>50</v>
      </c>
      <c r="D44" s="6" t="s">
        <v>73</v>
      </c>
      <c r="E44" s="53" t="s">
        <v>160</v>
      </c>
      <c r="F44" s="155"/>
      <c r="K44" s="146"/>
      <c r="Y44" s="146"/>
    </row>
    <row r="45" spans="1:25" ht="16" x14ac:dyDescent="0.2">
      <c r="A45" s="146"/>
      <c r="B45" s="6" t="s">
        <v>163</v>
      </c>
      <c r="C45" s="165">
        <f>VLOOKUP(C27,'Additional Data'!$B$18:$E$20,2)</f>
        <v>18</v>
      </c>
      <c r="D45" s="6" t="s">
        <v>73</v>
      </c>
      <c r="E45" s="53" t="s">
        <v>164</v>
      </c>
      <c r="F45" s="155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</row>
    <row r="46" spans="1:25" ht="16" x14ac:dyDescent="0.2">
      <c r="A46" s="146"/>
      <c r="B46" s="10" t="s">
        <v>166</v>
      </c>
      <c r="C46" s="162">
        <v>75</v>
      </c>
      <c r="D46" s="10" t="s">
        <v>167</v>
      </c>
      <c r="E46" s="54" t="s">
        <v>168</v>
      </c>
      <c r="F46" s="157"/>
    </row>
    <row r="47" spans="1:25" x14ac:dyDescent="0.2">
      <c r="A47" s="146"/>
      <c r="B47" s="152"/>
      <c r="C47" s="153"/>
      <c r="D47" s="153"/>
      <c r="E47" s="154"/>
      <c r="F47" s="155"/>
    </row>
    <row r="48" spans="1:25" ht="21" x14ac:dyDescent="0.25">
      <c r="B48" s="31"/>
    </row>
    <row r="49" spans="2:9" ht="16" x14ac:dyDescent="0.2">
      <c r="B49" s="30"/>
    </row>
    <row r="50" spans="2:9" ht="16" x14ac:dyDescent="0.2">
      <c r="B50" s="30"/>
    </row>
    <row r="51" spans="2:9" x14ac:dyDescent="0.2">
      <c r="I51" s="116"/>
    </row>
    <row r="52" spans="2:9" x14ac:dyDescent="0.2">
      <c r="I52" s="116"/>
    </row>
    <row r="53" spans="2:9" x14ac:dyDescent="0.2">
      <c r="I53" s="116"/>
    </row>
    <row r="54" spans="2:9" x14ac:dyDescent="0.2">
      <c r="I54" s="116"/>
    </row>
    <row r="55" spans="2:9" x14ac:dyDescent="0.2">
      <c r="I55" s="116"/>
    </row>
    <row r="56" spans="2:9" x14ac:dyDescent="0.2">
      <c r="B56" s="24"/>
      <c r="I56" s="116"/>
    </row>
    <row r="57" spans="2:9" x14ac:dyDescent="0.2">
      <c r="I57" s="116"/>
    </row>
  </sheetData>
  <sheetProtection selectLockedCells="1"/>
  <mergeCells count="1">
    <mergeCell ref="A28:A36"/>
  </mergeCells>
  <conditionalFormatting sqref="N6 E36">
    <cfRule type="containsText" dxfId="4" priority="8" operator="containsText" text="Fail">
      <formula>NOT(ISERROR(SEARCH("Fail",E6)))</formula>
    </cfRule>
    <cfRule type="containsText" dxfId="3" priority="9" operator="containsText" text="Pass">
      <formula>NOT(ISERROR(SEARCH("Pass",E6)))</formula>
    </cfRule>
  </conditionalFormatting>
  <conditionalFormatting sqref="N8 N10">
    <cfRule type="containsText" dxfId="2" priority="6" operator="containsText" text="Pass">
      <formula>NOT(ISERROR(SEARCH("Pass",N8)))</formula>
    </cfRule>
    <cfRule type="containsText" dxfId="1" priority="7" operator="containsText" text="Fail">
      <formula>NOT(ISERROR(SEARCH("Fail",N8)))</formula>
    </cfRule>
  </conditionalFormatting>
  <conditionalFormatting sqref="C14:C15 C17">
    <cfRule type="cellIs" dxfId="0" priority="5" operator="equal">
      <formula>"Error: Choice"</formula>
    </cfRule>
  </conditionalFormatting>
  <dataValidations count="2">
    <dataValidation type="list" allowBlank="1" showInputMessage="1" showErrorMessage="1" sqref="C24 C26" xr:uid="{00000000-0002-0000-0000-000000000000}">
      <formula1>ValidAmps</formula1>
    </dataValidation>
    <dataValidation type="list" allowBlank="1" showInputMessage="1" showErrorMessage="1" sqref="C25 C27" xr:uid="{00000000-0002-0000-0000-000001000000}">
      <formula1>ValidFilters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'Additional Data'!$B$23:$B$26</xm:f>
          </x14:formula1>
          <xm:sqref>C12</xm:sqref>
        </x14:dataValidation>
        <x14:dataValidation type="list" allowBlank="1" showInputMessage="1" showErrorMessage="1" xr:uid="{00000000-0002-0000-0000-000003000000}">
          <x14:formula1>
            <xm:f>'Additional Data'!$B$3:$B$5</xm:f>
          </x14:formula1>
          <xm:sqref>H5</xm:sqref>
        </x14:dataValidation>
        <x14:dataValidation type="list" allowBlank="1" showInputMessage="1" showErrorMessage="1" xr:uid="{00000000-0002-0000-0000-000004000000}">
          <x14:formula1>
            <xm:f>'Additional Data'!$B$8:$B$12</xm:f>
          </x14:formula1>
          <xm:sqref>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6"/>
  <sheetViews>
    <sheetView workbookViewId="0">
      <selection activeCell="C19" sqref="C19"/>
    </sheetView>
  </sheetViews>
  <sheetFormatPr baseColWidth="10" defaultColWidth="8.83203125" defaultRowHeight="15" x14ac:dyDescent="0.2"/>
  <cols>
    <col min="2" max="2" width="27.6640625" customWidth="1"/>
    <col min="3" max="3" width="34.5" customWidth="1"/>
    <col min="4" max="4" width="19.6640625" customWidth="1"/>
    <col min="5" max="5" width="16.33203125" customWidth="1"/>
  </cols>
  <sheetData>
    <row r="1" spans="2:5" ht="16" thickBot="1" x14ac:dyDescent="0.25"/>
    <row r="2" spans="2:5" x14ac:dyDescent="0.2">
      <c r="B2" s="104" t="s">
        <v>169</v>
      </c>
      <c r="C2" s="106" t="s">
        <v>16</v>
      </c>
      <c r="D2" s="106" t="s">
        <v>170</v>
      </c>
      <c r="E2" s="107" t="s">
        <v>171</v>
      </c>
    </row>
    <row r="3" spans="2:5" x14ac:dyDescent="0.2">
      <c r="B3" s="117" t="s">
        <v>172</v>
      </c>
      <c r="C3" s="108" t="s">
        <v>173</v>
      </c>
      <c r="D3" s="109">
        <v>0.17</v>
      </c>
      <c r="E3" s="110">
        <v>0.68</v>
      </c>
    </row>
    <row r="4" spans="2:5" x14ac:dyDescent="0.2">
      <c r="B4" s="46" t="s">
        <v>17</v>
      </c>
      <c r="C4" s="47" t="s">
        <v>174</v>
      </c>
      <c r="D4" s="111">
        <v>0.22</v>
      </c>
      <c r="E4" s="112">
        <v>0.78</v>
      </c>
    </row>
    <row r="5" spans="2:5" ht="16" thickBot="1" x14ac:dyDescent="0.25">
      <c r="B5" s="49" t="s">
        <v>175</v>
      </c>
      <c r="C5" s="113" t="s">
        <v>176</v>
      </c>
      <c r="D5" s="114">
        <v>0.28999999999999998</v>
      </c>
      <c r="E5" s="115">
        <v>0.95</v>
      </c>
    </row>
    <row r="6" spans="2:5" ht="16" thickBot="1" x14ac:dyDescent="0.25"/>
    <row r="7" spans="2:5" x14ac:dyDescent="0.2">
      <c r="B7" s="43" t="s">
        <v>177</v>
      </c>
      <c r="C7" s="45" t="s">
        <v>178</v>
      </c>
    </row>
    <row r="8" spans="2:5" x14ac:dyDescent="0.2">
      <c r="B8" s="46" t="s">
        <v>46</v>
      </c>
      <c r="C8" s="48">
        <v>40</v>
      </c>
    </row>
    <row r="9" spans="2:5" x14ac:dyDescent="0.2">
      <c r="B9" s="46" t="s">
        <v>179</v>
      </c>
      <c r="C9" s="48">
        <v>150</v>
      </c>
    </row>
    <row r="10" spans="2:5" x14ac:dyDescent="0.2">
      <c r="B10" s="46" t="s">
        <v>180</v>
      </c>
      <c r="C10" s="48">
        <v>120</v>
      </c>
    </row>
    <row r="11" spans="2:5" x14ac:dyDescent="0.2">
      <c r="B11" s="46" t="s">
        <v>181</v>
      </c>
      <c r="C11" s="48">
        <v>65</v>
      </c>
    </row>
    <row r="12" spans="2:5" ht="16" thickBot="1" x14ac:dyDescent="0.25">
      <c r="B12" s="49" t="s">
        <v>182</v>
      </c>
      <c r="C12" s="51">
        <v>100</v>
      </c>
    </row>
    <row r="13" spans="2:5" ht="16" thickBot="1" x14ac:dyDescent="0.25"/>
    <row r="14" spans="2:5" x14ac:dyDescent="0.2">
      <c r="B14" s="43" t="s">
        <v>183</v>
      </c>
      <c r="C14" s="44" t="s">
        <v>71</v>
      </c>
      <c r="D14" s="44" t="s">
        <v>184</v>
      </c>
      <c r="E14" s="45" t="s">
        <v>185</v>
      </c>
    </row>
    <row r="15" spans="2:5" x14ac:dyDescent="0.2">
      <c r="B15" s="46" t="s">
        <v>95</v>
      </c>
      <c r="C15" s="47">
        <v>61</v>
      </c>
      <c r="D15" s="96">
        <v>10</v>
      </c>
      <c r="E15" s="48">
        <v>1.5</v>
      </c>
    </row>
    <row r="16" spans="2:5" x14ac:dyDescent="0.2">
      <c r="B16" s="46" t="s">
        <v>186</v>
      </c>
      <c r="C16" s="47">
        <v>53</v>
      </c>
      <c r="D16" s="96">
        <v>5</v>
      </c>
      <c r="E16" s="48">
        <v>1</v>
      </c>
    </row>
    <row r="17" spans="2:7" x14ac:dyDescent="0.2">
      <c r="B17" s="46" t="s">
        <v>103</v>
      </c>
      <c r="C17" s="47">
        <v>50</v>
      </c>
      <c r="D17" s="96">
        <v>3</v>
      </c>
      <c r="E17" s="48">
        <v>0.75</v>
      </c>
    </row>
    <row r="18" spans="2:7" x14ac:dyDescent="0.2">
      <c r="B18" s="46" t="s">
        <v>107</v>
      </c>
      <c r="C18" s="47">
        <v>25</v>
      </c>
      <c r="D18" s="96">
        <v>-2</v>
      </c>
      <c r="E18" s="48" t="s">
        <v>187</v>
      </c>
    </row>
    <row r="19" spans="2:7" x14ac:dyDescent="0.2">
      <c r="B19" s="46" t="s">
        <v>188</v>
      </c>
      <c r="C19" s="47">
        <v>21</v>
      </c>
      <c r="D19" s="96">
        <v>-4</v>
      </c>
      <c r="E19" s="48" t="s">
        <v>187</v>
      </c>
    </row>
    <row r="20" spans="2:7" ht="16" thickBot="1" x14ac:dyDescent="0.25">
      <c r="B20" s="49" t="s">
        <v>100</v>
      </c>
      <c r="C20" s="50">
        <v>18</v>
      </c>
      <c r="D20" s="97">
        <v>-5</v>
      </c>
      <c r="E20" s="51" t="s">
        <v>187</v>
      </c>
    </row>
    <row r="21" spans="2:7" ht="16" thickBot="1" x14ac:dyDescent="0.25"/>
    <row r="22" spans="2:7" x14ac:dyDescent="0.2">
      <c r="B22" s="43" t="s">
        <v>189</v>
      </c>
      <c r="C22" s="44" t="s">
        <v>190</v>
      </c>
      <c r="D22" s="44" t="s">
        <v>191</v>
      </c>
      <c r="E22" s="44" t="s">
        <v>192</v>
      </c>
      <c r="F22" s="44" t="s">
        <v>105</v>
      </c>
      <c r="G22" s="45" t="s">
        <v>71</v>
      </c>
    </row>
    <row r="23" spans="2:7" x14ac:dyDescent="0.2">
      <c r="B23" s="46" t="s">
        <v>193</v>
      </c>
      <c r="C23" s="47">
        <v>2.5</v>
      </c>
      <c r="D23" s="47">
        <v>0.95</v>
      </c>
      <c r="E23" s="96">
        <v>55</v>
      </c>
      <c r="F23" s="96">
        <v>40</v>
      </c>
      <c r="G23" s="48">
        <v>37</v>
      </c>
    </row>
    <row r="24" spans="2:7" x14ac:dyDescent="0.2">
      <c r="B24" s="46" t="s">
        <v>45</v>
      </c>
      <c r="C24" s="47">
        <v>3.5</v>
      </c>
      <c r="D24" s="47">
        <v>0.94</v>
      </c>
      <c r="E24" s="96">
        <v>50</v>
      </c>
      <c r="F24" s="96">
        <v>50</v>
      </c>
      <c r="G24" s="48">
        <v>33</v>
      </c>
    </row>
    <row r="25" spans="2:7" x14ac:dyDescent="0.2">
      <c r="B25" s="46" t="s">
        <v>194</v>
      </c>
      <c r="C25" s="47">
        <v>3</v>
      </c>
      <c r="D25" s="47">
        <v>0.98</v>
      </c>
      <c r="E25" s="96">
        <v>54</v>
      </c>
      <c r="F25" s="96">
        <v>60</v>
      </c>
      <c r="G25" s="48">
        <v>37</v>
      </c>
    </row>
    <row r="26" spans="2:7" ht="16" thickBot="1" x14ac:dyDescent="0.25">
      <c r="B26" s="49" t="s">
        <v>195</v>
      </c>
      <c r="C26" s="50">
        <v>2.25</v>
      </c>
      <c r="D26" s="50">
        <v>0.99</v>
      </c>
      <c r="E26" s="97">
        <v>46</v>
      </c>
      <c r="F26" s="97">
        <v>46</v>
      </c>
      <c r="G26" s="5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21"/>
  <sheetViews>
    <sheetView zoomScale="174" zoomScaleNormal="106" workbookViewId="0">
      <selection activeCell="S8" sqref="S8"/>
    </sheetView>
  </sheetViews>
  <sheetFormatPr baseColWidth="10" defaultColWidth="10.6640625" defaultRowHeight="11" x14ac:dyDescent="0.15"/>
  <cols>
    <col min="1" max="1" width="0.83203125" style="59" customWidth="1"/>
    <col min="2" max="4" width="10.6640625" style="59"/>
    <col min="5" max="5" width="13.5" style="59" customWidth="1"/>
    <col min="6" max="6" width="2.6640625" style="59" customWidth="1"/>
    <col min="7" max="10" width="10.6640625" style="59"/>
    <col min="11" max="11" width="2.6640625" style="59" customWidth="1"/>
    <col min="12" max="15" width="10.6640625" style="59"/>
    <col min="16" max="16" width="2.6640625" style="59" customWidth="1"/>
    <col min="17" max="20" width="10.6640625" style="59"/>
    <col min="21" max="21" width="2.6640625" style="59" customWidth="1"/>
    <col min="22" max="16384" width="10.6640625" style="59"/>
  </cols>
  <sheetData>
    <row r="1" spans="2:27" ht="4.5" customHeight="1" thickBot="1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2:27" ht="24" customHeight="1" thickBot="1" x14ac:dyDescent="0.2">
      <c r="B2" s="60" t="s">
        <v>134</v>
      </c>
      <c r="C2" s="178">
        <f>SUM(C5,H5,M5,R5,W5)</f>
        <v>220981.39729948746</v>
      </c>
      <c r="D2" s="178"/>
      <c r="E2" s="179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58"/>
      <c r="AA2" s="58"/>
    </row>
    <row r="3" spans="2:27" ht="24" customHeight="1" thickBot="1" x14ac:dyDescent="0.2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58"/>
      <c r="AA3" s="58"/>
    </row>
    <row r="4" spans="2:27" ht="24" customHeight="1" x14ac:dyDescent="0.15">
      <c r="B4" s="175" t="s">
        <v>6</v>
      </c>
      <c r="C4" s="176"/>
      <c r="D4" s="176"/>
      <c r="E4" s="177"/>
      <c r="F4" s="62"/>
      <c r="G4" s="175" t="s">
        <v>42</v>
      </c>
      <c r="H4" s="176"/>
      <c r="I4" s="176"/>
      <c r="J4" s="177"/>
      <c r="K4" s="62"/>
      <c r="L4" s="175" t="s">
        <v>78</v>
      </c>
      <c r="M4" s="176"/>
      <c r="N4" s="176"/>
      <c r="O4" s="177"/>
      <c r="P4" s="62"/>
      <c r="Q4" s="175" t="s">
        <v>83</v>
      </c>
      <c r="R4" s="176"/>
      <c r="S4" s="176"/>
      <c r="T4" s="177"/>
      <c r="U4" s="62"/>
      <c r="V4" s="175" t="s">
        <v>196</v>
      </c>
      <c r="W4" s="176"/>
      <c r="X4" s="176"/>
      <c r="Y4" s="177"/>
    </row>
    <row r="5" spans="2:27" ht="24" customHeight="1" x14ac:dyDescent="0.15">
      <c r="B5" s="63" t="s">
        <v>197</v>
      </c>
      <c r="C5" s="183">
        <f>SUM(E8:E14)</f>
        <v>106473.06396615412</v>
      </c>
      <c r="D5" s="184"/>
      <c r="E5" s="185"/>
      <c r="F5" s="64"/>
      <c r="G5" s="63" t="s">
        <v>197</v>
      </c>
      <c r="H5" s="183">
        <f>SUM(J8:J14)</f>
        <v>35000</v>
      </c>
      <c r="I5" s="184"/>
      <c r="J5" s="185"/>
      <c r="K5" s="65"/>
      <c r="L5" s="63" t="s">
        <v>197</v>
      </c>
      <c r="M5" s="183">
        <f>SUM(O8:O14)</f>
        <v>67500</v>
      </c>
      <c r="N5" s="184"/>
      <c r="O5" s="185"/>
      <c r="P5" s="65"/>
      <c r="Q5" s="63" t="s">
        <v>197</v>
      </c>
      <c r="R5" s="183">
        <f>SUM(T8:T14)</f>
        <v>1558.3333333333335</v>
      </c>
      <c r="S5" s="184"/>
      <c r="T5" s="185"/>
      <c r="U5" s="65"/>
      <c r="V5" s="63" t="s">
        <v>197</v>
      </c>
      <c r="W5" s="183">
        <f>SUM(Y8:Y14)</f>
        <v>10450</v>
      </c>
      <c r="X5" s="184"/>
      <c r="Y5" s="185"/>
    </row>
    <row r="6" spans="2:27" s="69" customFormat="1" ht="24" customHeight="1" thickBot="1" x14ac:dyDescent="0.2">
      <c r="B6" s="66" t="s">
        <v>198</v>
      </c>
      <c r="C6" s="180">
        <f>C5/C2</f>
        <v>0.48181912716324865</v>
      </c>
      <c r="D6" s="181"/>
      <c r="E6" s="182"/>
      <c r="F6" s="67"/>
      <c r="G6" s="66" t="s">
        <v>198</v>
      </c>
      <c r="H6" s="180">
        <f>H5/C2</f>
        <v>0.15838437274684197</v>
      </c>
      <c r="I6" s="181"/>
      <c r="J6" s="182"/>
      <c r="K6" s="68"/>
      <c r="L6" s="66" t="s">
        <v>198</v>
      </c>
      <c r="M6" s="180">
        <f>M5/C2</f>
        <v>0.30545557601176665</v>
      </c>
      <c r="N6" s="181"/>
      <c r="O6" s="182"/>
      <c r="P6" s="68"/>
      <c r="Q6" s="66" t="s">
        <v>198</v>
      </c>
      <c r="R6" s="180">
        <f>R5/C2</f>
        <v>7.0518756437284412E-3</v>
      </c>
      <c r="S6" s="181"/>
      <c r="T6" s="182"/>
      <c r="U6" s="68"/>
      <c r="V6" s="66" t="s">
        <v>198</v>
      </c>
      <c r="W6" s="180">
        <f>W5/C2</f>
        <v>4.7289048434414248E-2</v>
      </c>
      <c r="X6" s="181"/>
      <c r="Y6" s="182"/>
    </row>
    <row r="7" spans="2:27" ht="24" customHeight="1" x14ac:dyDescent="0.15">
      <c r="B7" s="70" t="s">
        <v>199</v>
      </c>
      <c r="C7" s="71" t="s">
        <v>200</v>
      </c>
      <c r="D7" s="71" t="s">
        <v>201</v>
      </c>
      <c r="E7" s="72" t="s">
        <v>202</v>
      </c>
      <c r="F7" s="62"/>
      <c r="G7" s="70" t="s">
        <v>199</v>
      </c>
      <c r="H7" s="71" t="s">
        <v>203</v>
      </c>
      <c r="I7" s="71" t="s">
        <v>204</v>
      </c>
      <c r="J7" s="72" t="s">
        <v>202</v>
      </c>
      <c r="K7" s="62"/>
      <c r="L7" s="70" t="s">
        <v>199</v>
      </c>
      <c r="M7" s="71" t="s">
        <v>203</v>
      </c>
      <c r="N7" s="71" t="s">
        <v>204</v>
      </c>
      <c r="O7" s="72" t="s">
        <v>202</v>
      </c>
      <c r="P7" s="62"/>
      <c r="Q7" s="70" t="s">
        <v>199</v>
      </c>
      <c r="R7" s="71" t="s">
        <v>205</v>
      </c>
      <c r="S7" s="71" t="s">
        <v>201</v>
      </c>
      <c r="T7" s="72" t="s">
        <v>202</v>
      </c>
      <c r="U7" s="62"/>
      <c r="V7" s="70" t="s">
        <v>199</v>
      </c>
      <c r="W7" s="71" t="s">
        <v>206</v>
      </c>
      <c r="X7" s="71" t="s">
        <v>207</v>
      </c>
      <c r="Y7" s="72" t="s">
        <v>202</v>
      </c>
    </row>
    <row r="8" spans="2:27" ht="12" x14ac:dyDescent="0.15">
      <c r="B8" s="73" t="s">
        <v>6</v>
      </c>
      <c r="C8" s="74">
        <f>Calculator!H19</f>
        <v>211.25607929792486</v>
      </c>
      <c r="D8" s="75">
        <v>504</v>
      </c>
      <c r="E8" s="76">
        <f>C8*D8</f>
        <v>106473.06396615412</v>
      </c>
      <c r="G8" s="73" t="s">
        <v>193</v>
      </c>
      <c r="H8" s="77">
        <f>IF(Cost!G8=Calculator!$C$12, Calculator!$C$19, 0)</f>
        <v>0</v>
      </c>
      <c r="I8" s="75">
        <v>40000</v>
      </c>
      <c r="J8" s="76">
        <f>H8*I8</f>
        <v>0</v>
      </c>
      <c r="L8" s="73" t="s">
        <v>95</v>
      </c>
      <c r="M8" s="77">
        <f>COUNTIF(Calculator!$C$24:$C$27,"Amplifier A")</f>
        <v>0</v>
      </c>
      <c r="N8" s="75">
        <v>25000</v>
      </c>
      <c r="O8" s="76">
        <f>M8*N8</f>
        <v>0</v>
      </c>
      <c r="Q8" s="73" t="s">
        <v>181</v>
      </c>
      <c r="R8" s="74">
        <f>IF(Cost!Q8=Calculator!$H$12, Calculator!$H$22,0)</f>
        <v>0</v>
      </c>
      <c r="S8" s="75">
        <v>25</v>
      </c>
      <c r="T8" s="76">
        <f>R8*S8</f>
        <v>0</v>
      </c>
      <c r="V8" s="73" t="s">
        <v>172</v>
      </c>
      <c r="W8" s="74">
        <f>IF(V8=Calculator!$H$5,Calculator!$C$9,0)</f>
        <v>110</v>
      </c>
      <c r="X8" s="75">
        <v>95</v>
      </c>
      <c r="Y8" s="76">
        <f>W8*X8</f>
        <v>10450</v>
      </c>
    </row>
    <row r="9" spans="2:27" ht="12" x14ac:dyDescent="0.15">
      <c r="B9" s="78"/>
      <c r="C9" s="79"/>
      <c r="D9" s="80"/>
      <c r="E9" s="81"/>
      <c r="G9" s="78" t="s">
        <v>45</v>
      </c>
      <c r="H9" s="77">
        <f>IF(Cost!G9=Calculator!$C$12, Calculator!$C$19, 0)</f>
        <v>0</v>
      </c>
      <c r="I9" s="80">
        <v>50000</v>
      </c>
      <c r="J9" s="81">
        <f t="shared" ref="J9:J11" si="0">H9*I9</f>
        <v>0</v>
      </c>
      <c r="L9" s="73" t="s">
        <v>186</v>
      </c>
      <c r="M9" s="77">
        <f>COUNTIF(Calculator!$C$24:$C$27,"Amplifier B")</f>
        <v>0</v>
      </c>
      <c r="N9" s="80">
        <f>0.75*N8</f>
        <v>18750</v>
      </c>
      <c r="O9" s="81">
        <f t="shared" ref="O9:O14" si="1">M9*N9</f>
        <v>0</v>
      </c>
      <c r="Q9" s="78" t="s">
        <v>182</v>
      </c>
      <c r="R9" s="74">
        <f>IF(Cost!Q9=Calculator!$H$12, Calculator!$H$22,0)</f>
        <v>0</v>
      </c>
      <c r="S9" s="80">
        <v>30</v>
      </c>
      <c r="T9" s="81">
        <f t="shared" ref="T9:T12" si="2">R9*S9</f>
        <v>0</v>
      </c>
      <c r="V9" s="78" t="s">
        <v>17</v>
      </c>
      <c r="W9" s="74">
        <f>IF(V9=Calculator!$H$5,Calculator!$C$9,0)</f>
        <v>0</v>
      </c>
      <c r="X9" s="80">
        <v>140</v>
      </c>
      <c r="Y9" s="81">
        <f t="shared" ref="Y9:Y10" si="3">W9*X9</f>
        <v>0</v>
      </c>
    </row>
    <row r="10" spans="2:27" ht="12" x14ac:dyDescent="0.15">
      <c r="B10" s="78"/>
      <c r="C10" s="79"/>
      <c r="D10" s="80"/>
      <c r="E10" s="81"/>
      <c r="G10" s="78" t="s">
        <v>194</v>
      </c>
      <c r="H10" s="77">
        <f>IF(Cost!G10=Calculator!$C$12, Calculator!$C$19, 0)</f>
        <v>0</v>
      </c>
      <c r="I10" s="80">
        <v>60000</v>
      </c>
      <c r="J10" s="81">
        <f t="shared" si="0"/>
        <v>0</v>
      </c>
      <c r="L10" s="73" t="s">
        <v>103</v>
      </c>
      <c r="M10" s="77">
        <f>COUNTIF(Calculator!$C$24:$C$27,"Amplifier C")</f>
        <v>2</v>
      </c>
      <c r="N10" s="80">
        <f>0.65*N8</f>
        <v>16250</v>
      </c>
      <c r="O10" s="81">
        <f t="shared" si="1"/>
        <v>32500</v>
      </c>
      <c r="Q10" s="78" t="s">
        <v>46</v>
      </c>
      <c r="R10" s="74">
        <f>IF(Cost!Q10=Calculator!$H$12, Calculator!$H$22,0)</f>
        <v>0</v>
      </c>
      <c r="S10" s="80">
        <v>13</v>
      </c>
      <c r="T10" s="81">
        <f t="shared" si="2"/>
        <v>0</v>
      </c>
      <c r="V10" s="78" t="s">
        <v>175</v>
      </c>
      <c r="W10" s="74">
        <f>IF(V10=Calculator!$H$5,Calculator!$C$9,0)</f>
        <v>0</v>
      </c>
      <c r="X10" s="80">
        <v>238</v>
      </c>
      <c r="Y10" s="81">
        <f t="shared" si="3"/>
        <v>0</v>
      </c>
    </row>
    <row r="11" spans="2:27" ht="12" x14ac:dyDescent="0.15">
      <c r="B11" s="78"/>
      <c r="C11" s="79"/>
      <c r="D11" s="80"/>
      <c r="E11" s="81"/>
      <c r="G11" s="78" t="s">
        <v>195</v>
      </c>
      <c r="H11" s="77">
        <f>IF(Cost!G11=Calculator!$C$12, Calculator!$C$19, 0)</f>
        <v>1</v>
      </c>
      <c r="I11" s="80">
        <v>35000</v>
      </c>
      <c r="J11" s="81">
        <f t="shared" si="0"/>
        <v>35000</v>
      </c>
      <c r="L11" s="78" t="s">
        <v>208</v>
      </c>
      <c r="M11" s="82">
        <v>1</v>
      </c>
      <c r="N11" s="80">
        <f>0.5*N8</f>
        <v>12500</v>
      </c>
      <c r="O11" s="81">
        <f t="shared" si="1"/>
        <v>12500</v>
      </c>
      <c r="Q11" s="78" t="s">
        <v>179</v>
      </c>
      <c r="R11" s="74">
        <f>IF(Cost!Q11=Calculator!$H$12, Calculator!$H$22,0)</f>
        <v>31.166666666666671</v>
      </c>
      <c r="S11" s="80">
        <v>50</v>
      </c>
      <c r="T11" s="81">
        <f t="shared" si="2"/>
        <v>1558.3333333333335</v>
      </c>
      <c r="V11" s="78"/>
      <c r="W11" s="79"/>
      <c r="X11" s="80"/>
      <c r="Y11" s="81"/>
    </row>
    <row r="12" spans="2:27" ht="12" x14ac:dyDescent="0.15">
      <c r="B12" s="78"/>
      <c r="C12" s="79"/>
      <c r="D12" s="80"/>
      <c r="E12" s="81"/>
      <c r="G12" s="78"/>
      <c r="H12" s="82"/>
      <c r="I12" s="80"/>
      <c r="J12" s="81"/>
      <c r="L12" s="78" t="s">
        <v>107</v>
      </c>
      <c r="M12" s="82">
        <f>COUNTIF(Calculator!$C$24:$C$27,"Filter A")</f>
        <v>0</v>
      </c>
      <c r="N12" s="80">
        <f>0.6*N8</f>
        <v>15000</v>
      </c>
      <c r="O12" s="81">
        <f t="shared" si="1"/>
        <v>0</v>
      </c>
      <c r="Q12" s="78" t="s">
        <v>180</v>
      </c>
      <c r="R12" s="74">
        <f>IF(Cost!Q12=Calculator!$H$12, Calculator!$H$22,0)</f>
        <v>0</v>
      </c>
      <c r="S12" s="80">
        <v>50</v>
      </c>
      <c r="T12" s="81">
        <f t="shared" si="2"/>
        <v>0</v>
      </c>
      <c r="V12" s="78"/>
      <c r="W12" s="79"/>
      <c r="X12" s="80"/>
      <c r="Y12" s="81"/>
    </row>
    <row r="13" spans="2:27" ht="12" x14ac:dyDescent="0.15">
      <c r="B13" s="78"/>
      <c r="C13" s="79"/>
      <c r="D13" s="80"/>
      <c r="E13" s="81"/>
      <c r="G13" s="78"/>
      <c r="H13" s="82"/>
      <c r="I13" s="80"/>
      <c r="J13" s="81"/>
      <c r="L13" s="78" t="s">
        <v>188</v>
      </c>
      <c r="M13" s="82">
        <f>COUNTIF(Calculator!$C$24:$C$27,"Filter B")</f>
        <v>0</v>
      </c>
      <c r="N13" s="80">
        <f>0.5*N8</f>
        <v>12500</v>
      </c>
      <c r="O13" s="81">
        <f t="shared" si="1"/>
        <v>0</v>
      </c>
      <c r="Q13" s="78"/>
      <c r="R13" s="79"/>
      <c r="S13" s="80"/>
      <c r="T13" s="81"/>
      <c r="V13" s="78"/>
      <c r="W13" s="79"/>
      <c r="X13" s="80"/>
      <c r="Y13" s="81"/>
    </row>
    <row r="14" spans="2:27" ht="13" thickBot="1" x14ac:dyDescent="0.2">
      <c r="B14" s="83"/>
      <c r="C14" s="84"/>
      <c r="D14" s="85"/>
      <c r="E14" s="86"/>
      <c r="G14" s="83"/>
      <c r="H14" s="87"/>
      <c r="I14" s="85"/>
      <c r="J14" s="86"/>
      <c r="L14" s="83" t="s">
        <v>100</v>
      </c>
      <c r="M14" s="87">
        <f>COUNTIF(Calculator!$C$24:$C$27,"Filter C")</f>
        <v>2</v>
      </c>
      <c r="N14" s="85">
        <f>0.45*N8</f>
        <v>11250</v>
      </c>
      <c r="O14" s="86">
        <f t="shared" si="1"/>
        <v>22500</v>
      </c>
      <c r="Q14" s="83"/>
      <c r="R14" s="84"/>
      <c r="S14" s="85"/>
      <c r="T14" s="86"/>
      <c r="V14" s="83"/>
      <c r="W14" s="84"/>
      <c r="X14" s="85"/>
      <c r="Y14" s="86"/>
    </row>
    <row r="17" ht="11.25" customHeight="1" x14ac:dyDescent="0.15"/>
    <row r="19" ht="10.25" customHeight="1" x14ac:dyDescent="0.15"/>
    <row r="20" ht="10.25" customHeight="1" x14ac:dyDescent="0.15"/>
    <row r="21" ht="11" customHeight="1" x14ac:dyDescent="0.15"/>
  </sheetData>
  <mergeCells count="16">
    <mergeCell ref="C5:E5"/>
    <mergeCell ref="H5:J5"/>
    <mergeCell ref="M5:O5"/>
    <mergeCell ref="R5:T5"/>
    <mergeCell ref="W5:Y5"/>
    <mergeCell ref="C6:E6"/>
    <mergeCell ref="H6:J6"/>
    <mergeCell ref="M6:O6"/>
    <mergeCell ref="R6:T6"/>
    <mergeCell ref="W6:Y6"/>
    <mergeCell ref="V4:Y4"/>
    <mergeCell ref="C2:E2"/>
    <mergeCell ref="B4:E4"/>
    <mergeCell ref="G4:J4"/>
    <mergeCell ref="L4:O4"/>
    <mergeCell ref="Q4:T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33034CCB194CA4F43FCE6D8366E5" ma:contentTypeVersion="0" ma:contentTypeDescription="Create a new document." ma:contentTypeScope="" ma:versionID="d978e228745a9aee6dd71ff4e482459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20B7B-3194-4369-8AEE-EF90FAF8AE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6CB5F7-0492-4914-97C8-3BCFC28084D7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704DC41-E463-43AA-9103-26E13299DE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Calculator</vt:lpstr>
      <vt:lpstr>Additional Data</vt:lpstr>
      <vt:lpstr>Cost</vt:lpstr>
      <vt:lpstr>ValidAmps</vt:lpstr>
      <vt:lpstr>ValidFilters</vt:lpstr>
      <vt:lpstr>ValidPyldComps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Solar, High, Altitude Long Endurance (SHALE) Vehicle</dc:title>
  <dc:subject/>
  <dc:creator>yt810e</dc:creator>
  <cp:keywords/>
  <dc:description/>
  <cp:lastModifiedBy>Microsoft Office User</cp:lastModifiedBy>
  <dcterms:created xsi:type="dcterms:W3CDTF">2015-12-04T23:55:31Z</dcterms:created>
  <dcterms:modified xsi:type="dcterms:W3CDTF">2020-03-06T02:58:21Z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0x010100176733034CCB194CA4F43FCE6D8366E5</vt:lpwstr>
  </property>
</Properties>
</file>