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12"/>
  <workbookPr/>
  <mc:AlternateContent xmlns:mc="http://schemas.openxmlformats.org/markup-compatibility/2006">
    <mc:Choice Requires="x15">
      <x15ac:absPath xmlns:x15ac="http://schemas.microsoft.com/office/spreadsheetml/2010/11/ac" url="/Users/josephperfetti/Percipient Dropbox/Joseph Perfetti/BFA 2023/07 ROIC and Free Cash Flow/Cases/"/>
    </mc:Choice>
  </mc:AlternateContent>
  <xr:revisionPtr revIDLastSave="324" documentId="13_ncr:1_{E19E20B9-4B55-3942-BAD4-9DC3312F89F9}" xr6:coauthVersionLast="47" xr6:coauthVersionMax="47" xr10:uidLastSave="{B4F24492-E897-4870-85F7-3BDCFC9A8AA4}"/>
  <bookViews>
    <workbookView xWindow="2400" yWindow="620" windowWidth="25600" windowHeight="14960" xr2:uid="{00000000-000D-0000-FFFF-FFFF00000000}"/>
  </bookViews>
  <sheets>
    <sheet name="Dashboard" sheetId="6" r:id="rId1"/>
    <sheet name="Data" sheetId="5" r:id="rId2"/>
    <sheet name="ROIC and FCF" sheetId="4" r:id="rId3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D36" i="4"/>
  <c r="E36" i="4"/>
  <c r="F36" i="4"/>
  <c r="G36" i="4"/>
  <c r="C36" i="4"/>
  <c r="F34" i="4"/>
  <c r="G34" i="4"/>
  <c r="D32" i="4"/>
  <c r="E32" i="4"/>
  <c r="E34" i="4" s="1"/>
  <c r="F32" i="4"/>
  <c r="G32" i="4"/>
  <c r="C32" i="4"/>
  <c r="E4" i="5"/>
  <c r="F1" i="4" s="1"/>
  <c r="F12" i="4" s="1"/>
  <c r="G1" i="4"/>
  <c r="G12" i="4" s="1"/>
  <c r="D34" i="4" l="1"/>
  <c r="F4" i="4"/>
  <c r="F16" i="4" s="1"/>
  <c r="G4" i="4"/>
  <c r="G16" i="4" s="1"/>
  <c r="D4" i="5"/>
  <c r="C4" i="5" s="1"/>
  <c r="B4" i="5" s="1"/>
  <c r="F10" i="4"/>
  <c r="F14" i="4" s="1"/>
  <c r="F15" i="4" s="1"/>
  <c r="G10" i="4"/>
  <c r="G14" i="4" s="1"/>
  <c r="G15" i="4" s="1"/>
  <c r="G6" i="4"/>
  <c r="G22" i="4"/>
  <c r="G28" i="4" s="1"/>
  <c r="F22" i="4"/>
  <c r="F28" i="4" s="1"/>
  <c r="F6" i="4"/>
  <c r="E10" i="4"/>
  <c r="E14" i="4" s="1"/>
  <c r="F23" i="4" l="1"/>
  <c r="F25" i="4" s="1"/>
  <c r="E1" i="4"/>
  <c r="E12" i="4" s="1"/>
  <c r="G23" i="4"/>
  <c r="G25" i="4" s="1"/>
  <c r="E4" i="4"/>
  <c r="E16" i="4" s="1"/>
  <c r="E15" i="4"/>
  <c r="E6" i="4"/>
  <c r="E22" i="4"/>
  <c r="E28" i="4" s="1"/>
  <c r="D1" i="4"/>
  <c r="D12" i="4" s="1"/>
  <c r="D6" i="4" s="1"/>
  <c r="C1" i="4"/>
  <c r="C12" i="4" s="1"/>
  <c r="C6" i="4" s="1"/>
  <c r="D4" i="4" l="1"/>
  <c r="D16" i="4" s="1"/>
  <c r="E23" i="4"/>
  <c r="E25" i="4" s="1"/>
  <c r="C4" i="4"/>
  <c r="C16" i="4" s="1"/>
  <c r="D22" i="4"/>
  <c r="C10" i="4"/>
  <c r="C14" i="4" s="1"/>
  <c r="C15" i="4" s="1"/>
  <c r="D10" i="4"/>
  <c r="D14" i="4" s="1"/>
  <c r="D15" i="4" s="1"/>
  <c r="D23" i="4" l="1"/>
  <c r="D25" i="4" s="1"/>
  <c r="C23" i="4"/>
  <c r="C25" i="4" s="1"/>
  <c r="C22" i="4"/>
  <c r="C28" i="4" s="1"/>
  <c r="D28" i="4"/>
  <c r="D38" i="4"/>
  <c r="D40" i="4"/>
  <c r="E40" i="4"/>
  <c r="E38" i="4"/>
  <c r="F38" i="4"/>
  <c r="F40" i="4"/>
  <c r="G40" i="4"/>
  <c r="G38" i="4"/>
</calcChain>
</file>

<file path=xl/sharedStrings.xml><?xml version="1.0" encoding="utf-8"?>
<sst xmlns="http://schemas.openxmlformats.org/spreadsheetml/2006/main" count="67" uniqueCount="53">
  <si>
    <t>Merck Data</t>
  </si>
  <si>
    <t>In Millions of USD except Per Share</t>
  </si>
  <si>
    <t>Revenue</t>
  </si>
  <si>
    <t>Cost of Goods &amp; Services Sold</t>
  </si>
  <si>
    <t>Gross Profit</t>
  </si>
  <si>
    <t>Gross Margin</t>
  </si>
  <si>
    <t>Selling, General and Administrative Expense</t>
  </si>
  <si>
    <t>SG&amp;A as Percentage Total Sales</t>
  </si>
  <si>
    <t>EBITDA</t>
  </si>
  <si>
    <t>Depreciation &amp; Amortization</t>
  </si>
  <si>
    <t>EBIT</t>
  </si>
  <si>
    <t>Pre-Tax Income</t>
  </si>
  <si>
    <t>Interest Expense</t>
  </si>
  <si>
    <t>Income Tax Expense (Benefit)</t>
  </si>
  <si>
    <t>Net Income/Net Profit (Losses)</t>
  </si>
  <si>
    <t>Profit Margin</t>
  </si>
  <si>
    <t>Cash and Cash Equivalents</t>
  </si>
  <si>
    <t>Accounts Receivable (A/R)</t>
  </si>
  <si>
    <t>Inventory</t>
  </si>
  <si>
    <t>Property Plant &amp; Equipment Net</t>
  </si>
  <si>
    <t>Accounts Payable</t>
  </si>
  <si>
    <t>Total Current Liabilities</t>
  </si>
  <si>
    <t>Total Short and Long Term Debt</t>
  </si>
  <si>
    <t>Total Liabilities</t>
  </si>
  <si>
    <t>Total Current Assets</t>
  </si>
  <si>
    <t>Total Assets</t>
  </si>
  <si>
    <t>Total Equity</t>
  </si>
  <si>
    <t>Weighted Average Cost of Capital (WACC) %</t>
  </si>
  <si>
    <t>Capital Expenditures</t>
  </si>
  <si>
    <t>Dividends Paid</t>
  </si>
  <si>
    <t>Formulas</t>
  </si>
  <si>
    <t>Invested Capital</t>
  </si>
  <si>
    <t>Total Short Term and Long Term Debt + Equity</t>
  </si>
  <si>
    <t>Effective Tax Rate</t>
  </si>
  <si>
    <t>Income Tax Expense (Benefit)/ Pre-Tax Income</t>
  </si>
  <si>
    <t>Net Operating Profit After Tax (NOPAT)</t>
  </si>
  <si>
    <t>EBIT x (1 - Effective Tax Rate)</t>
  </si>
  <si>
    <t>ROIC %</t>
  </si>
  <si>
    <t>NOPAT / Invested Capital</t>
  </si>
  <si>
    <t>NOPAT</t>
  </si>
  <si>
    <t>Gross Cash Flow</t>
  </si>
  <si>
    <t>NOPAT + Depreciation &amp; Amortization</t>
  </si>
  <si>
    <t>Acounts Receivable (A/R)</t>
  </si>
  <si>
    <t>Working Capital (WC)</t>
  </si>
  <si>
    <t>A/R + Inventory - Payables</t>
  </si>
  <si>
    <t>Investment in Working Capital</t>
  </si>
  <si>
    <t>Current Year WC - Previous Year WC</t>
  </si>
  <si>
    <t>Gross Investrment</t>
  </si>
  <si>
    <t>Investment in WC + Capital Expenditures</t>
  </si>
  <si>
    <t>Reinvestment Rate</t>
  </si>
  <si>
    <t>Gross Investment / Gross Cash Flow</t>
  </si>
  <si>
    <t>Free Cash Flow</t>
  </si>
  <si>
    <t>Gross Cash Flow - Gross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</si>
</sst>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&quot;$&quot;* #,##0_);_(&quot;$&quot;* \(#,##0\);_(&quot;$&quot;* &quot;-&quot;??_);_(@_)"/>
    <numFmt numFmtId="167" formatCode="&quot;$&quot;#,##0"/>
  </numFmts>
  <fonts count="22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3275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51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5" applyNumberFormat="0" applyAlignment="0" applyProtection="0"/>
    <xf numFmtId="0" fontId="15" fillId="7" borderId="8" applyNumberFormat="0" applyAlignment="0" applyProtection="0"/>
    <xf numFmtId="0" fontId="17" fillId="0" borderId="0" applyNumberFormat="0" applyFill="0" applyBorder="0" applyAlignment="0" applyProtection="0"/>
    <xf numFmtId="0" fontId="2" fillId="33" borderId="1">
      <alignment horizontal="right"/>
    </xf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5" applyNumberFormat="0" applyAlignment="0" applyProtection="0"/>
    <xf numFmtId="0" fontId="14" fillId="0" borderId="7" applyNumberFormat="0" applyFill="0" applyAlignment="0" applyProtection="0"/>
    <xf numFmtId="0" fontId="10" fillId="4" borderId="0" applyNumberFormat="0" applyBorder="0" applyAlignment="0" applyProtection="0"/>
    <xf numFmtId="0" fontId="3" fillId="8" borderId="9" applyNumberFormat="0" applyFont="0" applyAlignment="0" applyProtection="0"/>
    <xf numFmtId="0" fontId="12" fillId="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20" fillId="0" borderId="0" xfId="45"/>
    <xf numFmtId="0" fontId="19" fillId="34" borderId="0" xfId="0" applyFont="1" applyFill="1"/>
    <xf numFmtId="0" fontId="0" fillId="35" borderId="0" xfId="0" applyFill="1"/>
    <xf numFmtId="166" fontId="0" fillId="35" borderId="0" xfId="50" applyNumberFormat="1" applyFont="1" applyFill="1"/>
    <xf numFmtId="0" fontId="0" fillId="36" borderId="0" xfId="0" applyFill="1"/>
    <xf numFmtId="166" fontId="0" fillId="36" borderId="0" xfId="50" applyNumberFormat="1" applyFont="1" applyFill="1"/>
    <xf numFmtId="164" fontId="0" fillId="36" borderId="0" xfId="49" applyNumberFormat="1" applyFont="1" applyFill="1"/>
    <xf numFmtId="164" fontId="0" fillId="35" borderId="0" xfId="49" applyNumberFormat="1" applyFont="1" applyFill="1"/>
    <xf numFmtId="0" fontId="20" fillId="37" borderId="0" xfId="45" applyFill="1"/>
    <xf numFmtId="0" fontId="20" fillId="36" borderId="0" xfId="45" applyFill="1"/>
    <xf numFmtId="0" fontId="20" fillId="35" borderId="0" xfId="45" applyFill="1"/>
    <xf numFmtId="165" fontId="20" fillId="35" borderId="0" xfId="44" applyNumberFormat="1" applyFont="1" applyFill="1"/>
    <xf numFmtId="165" fontId="20" fillId="35" borderId="0" xfId="45" applyNumberFormat="1" applyFill="1"/>
    <xf numFmtId="166" fontId="20" fillId="35" borderId="0" xfId="45" applyNumberFormat="1" applyFill="1"/>
    <xf numFmtId="0" fontId="21" fillId="34" borderId="11" xfId="45" applyFont="1" applyFill="1" applyBorder="1"/>
    <xf numFmtId="4" fontId="0" fillId="35" borderId="0" xfId="0" applyNumberFormat="1" applyFill="1"/>
    <xf numFmtId="167" fontId="0" fillId="36" borderId="0" xfId="50" applyNumberFormat="1" applyFont="1" applyFill="1"/>
    <xf numFmtId="167" fontId="0" fillId="35" borderId="0" xfId="50" applyNumberFormat="1" applyFont="1" applyFill="1"/>
    <xf numFmtId="0" fontId="0" fillId="38" borderId="0" xfId="0" applyFill="1" applyAlignment="1"/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9" builtinId="3"/>
    <cellStyle name="Comma 2" xfId="46" xr:uid="{00000000-0005-0000-0000-00001D000000}"/>
    <cellStyle name="Currency" xfId="50" builtinId="4"/>
    <cellStyle name="Currency 2" xfId="48" xr:uid="{00000000-0005-0000-0000-00001F000000}"/>
    <cellStyle name="Explanatory Text" xfId="29" builtinId="53" customBuiltin="1"/>
    <cellStyle name="fa_column_header_bottom" xfId="30" xr:uid="{00000000-0005-0000-0000-000021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5" xr:uid="{00000000-0005-0000-0000-00002B000000}"/>
    <cellStyle name="Note" xfId="39" builtinId="10" customBuiltin="1"/>
    <cellStyle name="Output" xfId="40" builtinId="21" customBuiltin="1"/>
    <cellStyle name="Percent" xfId="44" builtinId="5"/>
    <cellStyle name="Percent 2" xfId="47" xr:uid="{00000000-0005-0000-0000-00002F000000}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mruColors>
      <color rgb="FF1327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Invested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Invested Capital (M$)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'ROIC and FCF'!$C$1:$G$1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'ROIC and FCF'!$C$4:$G$4</c:f>
              <c:numCache>
                <c:formatCode>"$"#,##0</c:formatCode>
                <c:ptCount val="5"/>
                <c:pt idx="0">
                  <c:v>51996</c:v>
                </c:pt>
                <c:pt idx="1">
                  <c:v>53351</c:v>
                </c:pt>
                <c:pt idx="2">
                  <c:v>58857</c:v>
                </c:pt>
                <c:pt idx="3">
                  <c:v>72888</c:v>
                </c:pt>
                <c:pt idx="4">
                  <c:v>78043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0-4A5F-A82E-08D66685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81639"/>
        <c:axId val="219790855"/>
      </c:scatterChart>
      <c:valAx>
        <c:axId val="219781639"/>
        <c:scaling>
          <c:orientation val="minMax"/>
          <c:max val="2022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0855"/>
        <c:crosses val="autoZero"/>
        <c:crossBetween val="midCat"/>
        <c:minorUnit val="1"/>
      </c:valAx>
      <c:valAx>
        <c:axId val="219790855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1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Tax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Effective Tax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'ROIC and FCF'!$C$6:$G$6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'ROIC and FCF'!$C$10:$G$10</c:f>
              <c:numCache>
                <c:formatCode>0.0%</c:formatCode>
                <c:ptCount val="5"/>
                <c:pt idx="0">
                  <c:v>0.28824273072060685</c:v>
                </c:pt>
                <c:pt idx="1">
                  <c:v>0.21824013387254218</c:v>
                </c:pt>
                <c:pt idx="2">
                  <c:v>0.22855193586900904</c:v>
                </c:pt>
                <c:pt idx="3">
                  <c:v>0.1095900281000072</c:v>
                </c:pt>
                <c:pt idx="4">
                  <c:v>0.11663828752128436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2-438C-A0F9-B48E0A67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9368"/>
        <c:axId val="1619935239"/>
      </c:scatterChart>
      <c:valAx>
        <c:axId val="709199368"/>
        <c:scaling>
          <c:orientation val="minMax"/>
          <c:max val="2022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35239"/>
        <c:crosses val="autoZero"/>
        <c:crossBetween val="midCat"/>
        <c:minorUnit val="1"/>
      </c:valAx>
      <c:valAx>
        <c:axId val="1619935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9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Gross Cash 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'ROIC and FCF'!$C$22:$G$22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'ROIC and FCF'!$C$25:$G$25</c:f>
              <c:numCache>
                <c:formatCode>_("$"* #,##0_);_("$"* \(#,##0\);_("$"* "-"??_);_(@_)</c:formatCode>
                <c:ptCount val="5"/>
                <c:pt idx="0">
                  <c:v>10425.873577749684</c:v>
                </c:pt>
                <c:pt idx="1">
                  <c:v>9016.8470227304424</c:v>
                </c:pt>
                <c:pt idx="2">
                  <c:v>7322.4112229234179</c:v>
                </c:pt>
                <c:pt idx="3">
                  <c:v>14377.96022768211</c:v>
                </c:pt>
                <c:pt idx="4">
                  <c:v>19760.925930430552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6-41F5-8A62-314E1CE1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51559"/>
        <c:axId val="1635738119"/>
      </c:scatterChart>
      <c:valAx>
        <c:axId val="702551559"/>
        <c:scaling>
          <c:orientation val="minMax"/>
          <c:max val="2022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38119"/>
        <c:crosses val="autoZero"/>
        <c:crossBetween val="midCat"/>
        <c:minorUnit val="1"/>
      </c:valAx>
      <c:valAx>
        <c:axId val="163573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51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Reinvestment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Reinvestment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'ROIC and FCF'!$C$28:$G$28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'ROIC and FCF'!$C$38:$G$38</c:f>
              <c:numCache>
                <c:formatCode>0.0%</c:formatCode>
                <c:ptCount val="5"/>
                <c:pt idx="1">
                  <c:v>0.35422581662395852</c:v>
                </c:pt>
                <c:pt idx="2">
                  <c:v>0.46992717224452829</c:v>
                </c:pt>
                <c:pt idx="3">
                  <c:v>0.48629985681405585</c:v>
                </c:pt>
                <c:pt idx="4">
                  <c:v>0.24852074327333906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1-4BD5-969B-72DEE55C9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79591"/>
        <c:axId val="219782151"/>
      </c:scatterChart>
      <c:valAx>
        <c:axId val="219779591"/>
        <c:scaling>
          <c:orientation val="minMax"/>
          <c:max val="2022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2151"/>
        <c:crosses val="autoZero"/>
        <c:crossBetween val="midCat"/>
        <c:minorUnit val="1"/>
      </c:valAx>
      <c:valAx>
        <c:axId val="219782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79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Free Cash 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'ROIC and FCF'!$C$28:$G$28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'ROIC and FCF'!$C$40:$G$40</c:f>
              <c:numCache>
                <c:formatCode>_("$"* #,##0_);_("$"* \(#,##0\);_("$"* "-"??_);_(@_)</c:formatCode>
                <c:ptCount val="5"/>
                <c:pt idx="1">
                  <c:v>5822.8470227304424</c:v>
                </c:pt>
                <c:pt idx="2">
                  <c:v>3881.4112229234179</c:v>
                </c:pt>
                <c:pt idx="3">
                  <c:v>7385.9602276821097</c:v>
                </c:pt>
                <c:pt idx="4">
                  <c:v>14849.925930430552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3-4E5E-A4B4-296940D4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98312"/>
        <c:axId val="1516949000"/>
      </c:scatterChart>
      <c:valAx>
        <c:axId val="1516898312"/>
        <c:scaling>
          <c:orientation val="minMax"/>
          <c:max val="2022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49000"/>
        <c:crosses val="autoZero"/>
        <c:crossBetween val="midCat"/>
        <c:minorUnit val="1"/>
      </c:valAx>
      <c:valAx>
        <c:axId val="15169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9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Dividends 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Dividends Paid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'ROIC and FCF'!$C$28:$G$28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'ROIC and FCF'!$C$42:$G$42</c:f>
              <c:numCache>
                <c:formatCode>_("$"* #,##0_);_("$"* \(#,##0\);_("$"* "-"??_);_(@_)</c:formatCode>
                <c:ptCount val="5"/>
                <c:pt idx="0">
                  <c:v>5172</c:v>
                </c:pt>
                <c:pt idx="1">
                  <c:v>5695</c:v>
                </c:pt>
                <c:pt idx="2">
                  <c:v>6215</c:v>
                </c:pt>
                <c:pt idx="3">
                  <c:v>6610</c:v>
                </c:pt>
                <c:pt idx="4">
                  <c:v>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6-4F1B-8F3E-C76EE460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77864"/>
        <c:axId val="709179912"/>
      </c:scatterChart>
      <c:valAx>
        <c:axId val="709177864"/>
        <c:scaling>
          <c:orientation val="minMax"/>
          <c:max val="2022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79912"/>
        <c:crosses val="autoZero"/>
        <c:crossBetween val="midCat"/>
        <c:minorUnit val="1"/>
      </c:valAx>
      <c:valAx>
        <c:axId val="70917991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77864"/>
        <c:crosses val="autoZero"/>
        <c:crossBetween val="midCat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year ROIC vs 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ROIC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'ROIC and FCF'!$C$12:$G$12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'ROIC and FCF'!$C$18:$G$18</c:f>
              <c:numCache>
                <c:formatCode>0.0%</c:formatCode>
                <c:ptCount val="5"/>
                <c:pt idx="0">
                  <c:v>0.11360246129990161</c:v>
                </c:pt>
                <c:pt idx="1">
                  <c:v>0.10696794854324085</c:v>
                </c:pt>
                <c:pt idx="2">
                  <c:v>6.5181902287296645E-2</c:v>
                </c:pt>
                <c:pt idx="3">
                  <c:v>0.15316595636705782</c:v>
                </c:pt>
                <c:pt idx="4">
                  <c:v>0.20311784439899225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6-4951-80EE-C1758E1A45C9}"/>
            </c:ext>
          </c:extLst>
        </c:ser>
        <c:ser>
          <c:idx val="1"/>
          <c:order val="1"/>
          <c:tx>
            <c:v>WACC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'ROIC and FCF'!$C$12:$G$12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'ROIC and FCF'!$C$19:$G$19</c:f>
              <c:numCache>
                <c:formatCode>0.0%</c:formatCode>
                <c:ptCount val="5"/>
                <c:pt idx="0">
                  <c:v>9.0717000000000006E-2</c:v>
                </c:pt>
                <c:pt idx="1">
                  <c:v>6.6546999999999995E-2</c:v>
                </c:pt>
                <c:pt idx="2">
                  <c:v>5.2993999999999999E-2</c:v>
                </c:pt>
                <c:pt idx="3">
                  <c:v>6.0500999999999999E-2</c:v>
                </c:pt>
                <c:pt idx="4">
                  <c:v>5.9102000000000002E-2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6-4951-80EE-C1758E1A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1896"/>
        <c:axId val="95783944"/>
      </c:scatterChart>
      <c:valAx>
        <c:axId val="95781896"/>
        <c:scaling>
          <c:orientation val="minMax"/>
          <c:max val="2022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3944"/>
        <c:crosses val="autoZero"/>
        <c:crossBetween val="midCat"/>
        <c:minorUnit val="1"/>
      </c:valAx>
      <c:valAx>
        <c:axId val="957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Dividends &amp; Free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Dividends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'ROIC and FCF'!C28:G28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'ROIC and FCF'!$C$42:$G$42</c:f>
              <c:numCache>
                <c:formatCode>_("$"* #,##0_);_("$"* \(#,##0\);_("$"* "-"??_);_(@_)</c:formatCode>
                <c:ptCount val="5"/>
                <c:pt idx="0">
                  <c:v>5172</c:v>
                </c:pt>
                <c:pt idx="1">
                  <c:v>5695</c:v>
                </c:pt>
                <c:pt idx="2">
                  <c:v>6215</c:v>
                </c:pt>
                <c:pt idx="3">
                  <c:v>6610</c:v>
                </c:pt>
                <c:pt idx="4">
                  <c:v>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0-46CF-ADA6-EDC158B8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596167"/>
        <c:axId val="1581639175"/>
      </c:barChart>
      <c:lineChart>
        <c:grouping val="standard"/>
        <c:varyColors val="0"/>
        <c:ser>
          <c:idx val="1"/>
          <c:order val="1"/>
          <c:tx>
            <c:v>Free Cash Flow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'ROIC and FCF'!C28:G28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'ROIC and FCF'!C40:G40</c:f>
              <c:numCache>
                <c:formatCode>_("$"* #,##0_);_("$"* \(#,##0\);_("$"* "-"??_);_(@_)</c:formatCode>
                <c:ptCount val="5"/>
                <c:pt idx="1">
                  <c:v>5822.8470227304424</c:v>
                </c:pt>
                <c:pt idx="2">
                  <c:v>3881.4112229234179</c:v>
                </c:pt>
                <c:pt idx="3">
                  <c:v>7385.9602276821097</c:v>
                </c:pt>
                <c:pt idx="4">
                  <c:v>14849.925930430552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0-46CF-ADA6-EDC158B8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92039"/>
        <c:axId val="117279751"/>
      </c:lineChart>
      <c:catAx>
        <c:axId val="1581596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39175"/>
        <c:crosses val="autoZero"/>
        <c:auto val="1"/>
        <c:lblAlgn val="ctr"/>
        <c:lblOffset val="100"/>
        <c:noMultiLvlLbl val="0"/>
      </c:catAx>
      <c:valAx>
        <c:axId val="158163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Dividends ($ Million)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96167"/>
        <c:crosses val="autoZero"/>
        <c:crossBetween val="between"/>
      </c:valAx>
      <c:valAx>
        <c:axId val="117279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Cash Flow ($ Million)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2039"/>
        <c:crosses val="max"/>
        <c:crossBetween val="between"/>
      </c:valAx>
      <c:catAx>
        <c:axId val="117292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79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</xdr:row>
      <xdr:rowOff>114300</xdr:rowOff>
    </xdr:from>
    <xdr:to>
      <xdr:col>8</xdr:col>
      <xdr:colOff>371475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6310F-5402-4A08-A41E-F5CE49E28447}"/>
            </a:ext>
            <a:ext uri="{147F2762-F138-4A5C-976F-8EAC2B608ADB}">
              <a16:predDERef xmlns:a16="http://schemas.microsoft.com/office/drawing/2014/main" pred="{781ADF66-EBB3-4F76-9C26-D4CB68E39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3</xdr:row>
      <xdr:rowOff>123825</xdr:rowOff>
    </xdr:from>
    <xdr:to>
      <xdr:col>17</xdr:col>
      <xdr:colOff>38100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4A1D3-CA29-40EE-93E5-2032293B4F7C}"/>
            </a:ext>
            <a:ext uri="{147F2762-F138-4A5C-976F-8EAC2B608ADB}">
              <a16:predDERef xmlns:a16="http://schemas.microsoft.com/office/drawing/2014/main" pred="{5506310F-5402-4A08-A41E-F5CE49E28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542925</xdr:colOff>
      <xdr:row>3</xdr:row>
      <xdr:rowOff>123825</xdr:rowOff>
    </xdr:from>
    <xdr:to>
      <xdr:col>33</xdr:col>
      <xdr:colOff>390525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E32287-04D6-446F-9450-DC965BBA7EEA}"/>
            </a:ext>
            <a:ext uri="{147F2762-F138-4A5C-976F-8EAC2B608ADB}">
              <a16:predDERef xmlns:a16="http://schemas.microsoft.com/office/drawing/2014/main" pred="{8634A1D3-CA29-40EE-93E5-2032293B4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27</xdr:row>
      <xdr:rowOff>133350</xdr:rowOff>
    </xdr:from>
    <xdr:to>
      <xdr:col>8</xdr:col>
      <xdr:colOff>371475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B77DC7-8CAE-414D-95B2-FFFD1CECD70C}"/>
            </a:ext>
            <a:ext uri="{147F2762-F138-4A5C-976F-8EAC2B608ADB}">
              <a16:predDERef xmlns:a16="http://schemas.microsoft.com/office/drawing/2014/main" pred="{22E32287-04D6-446F-9450-DC965BBA7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27</xdr:row>
      <xdr:rowOff>161925</xdr:rowOff>
    </xdr:from>
    <xdr:to>
      <xdr:col>17</xdr:col>
      <xdr:colOff>47625</xdr:colOff>
      <xdr:row>46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E30CC7-5B98-48AD-A29C-618BB0E21A01}"/>
            </a:ext>
            <a:ext uri="{147F2762-F138-4A5C-976F-8EAC2B608ADB}">
              <a16:predDERef xmlns:a16="http://schemas.microsoft.com/office/drawing/2014/main" pred="{62B77DC7-8CAE-414D-95B2-FFFD1CECD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314325</xdr:colOff>
      <xdr:row>27</xdr:row>
      <xdr:rowOff>161925</xdr:rowOff>
    </xdr:from>
    <xdr:to>
      <xdr:col>25</xdr:col>
      <xdr:colOff>266700</xdr:colOff>
      <xdr:row>46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2FDF40-F566-418D-9B6C-8C2AAEC68AC2}"/>
            </a:ext>
            <a:ext uri="{147F2762-F138-4A5C-976F-8EAC2B608ADB}">
              <a16:predDERef xmlns:a16="http://schemas.microsoft.com/office/drawing/2014/main" pred="{74E30CC7-5B98-48AD-A29C-618BB0E21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352425</xdr:colOff>
      <xdr:row>3</xdr:row>
      <xdr:rowOff>142875</xdr:rowOff>
    </xdr:from>
    <xdr:to>
      <xdr:col>25</xdr:col>
      <xdr:colOff>333375</xdr:colOff>
      <xdr:row>19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8E073D-54C2-40DE-9A00-51F2AF37AD12}"/>
            </a:ext>
            <a:ext uri="{147F2762-F138-4A5C-976F-8EAC2B608ADB}">
              <a16:predDERef xmlns:a16="http://schemas.microsoft.com/office/drawing/2014/main" pred="{0C2FDF40-F566-418D-9B6C-8C2AAEC6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20</xdr:row>
      <xdr:rowOff>28575</xdr:rowOff>
    </xdr:from>
    <xdr:to>
      <xdr:col>17</xdr:col>
      <xdr:colOff>38100</xdr:colOff>
      <xdr:row>26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1F2B86-4205-73B5-2B81-69B0FFE2EDFD}"/>
            </a:ext>
            <a:ext uri="{147F2762-F138-4A5C-976F-8EAC2B608ADB}">
              <a16:predDERef xmlns:a16="http://schemas.microsoft.com/office/drawing/2014/main" pred="{348E073D-54C2-40DE-9A00-51F2AF37AD12}"/>
            </a:ext>
          </a:extLst>
        </xdr:cNvPr>
        <xdr:cNvSpPr txBox="1"/>
      </xdr:nvSpPr>
      <xdr:spPr>
        <a:xfrm>
          <a:off x="5524500" y="3838575"/>
          <a:ext cx="4876800" cy="1143000"/>
        </a:xfrm>
        <a:prstGeom prst="flowChartAlternateProcess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Between 2018 and 2022 the corporate tax rate has been decreasing from 28.8% to 11.7% with the largest drop during the pandemic. 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A declining tax rate can indicate higher profitability if driven by legitimate tax strategies, increased deductions, or growth in tax-advantaged sectors.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The decline may also be driven by one-time events that don't necessarily align with sustainable profitability.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400050</xdr:colOff>
      <xdr:row>20</xdr:row>
      <xdr:rowOff>19050</xdr:rowOff>
    </xdr:from>
    <xdr:to>
      <xdr:col>8</xdr:col>
      <xdr:colOff>371475</xdr:colOff>
      <xdr:row>25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5E95CF4-76A8-8FF1-715C-7F063C8B117D}"/>
            </a:ext>
            <a:ext uri="{147F2762-F138-4A5C-976F-8EAC2B608ADB}">
              <a16:predDERef xmlns:a16="http://schemas.microsoft.com/office/drawing/2014/main" pred="{9D1F2B86-4205-73B5-2B81-69B0FFE2EDFD}"/>
            </a:ext>
          </a:extLst>
        </xdr:cNvPr>
        <xdr:cNvSpPr txBox="1"/>
      </xdr:nvSpPr>
      <xdr:spPr>
        <a:xfrm>
          <a:off x="400050" y="3829050"/>
          <a:ext cx="4848225" cy="1114425"/>
        </a:xfrm>
        <a:prstGeom prst="flowChartAlternateProcess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There is an increase in invested capital from $51.9 billion in 2018 to $78 billion in 2022.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The increase indicates that Merck is reinvesting, possibly to support growth.</a:t>
          </a:r>
        </a:p>
      </xdr:txBody>
    </xdr:sp>
    <xdr:clientData/>
  </xdr:twoCellAnchor>
  <xdr:twoCellAnchor>
    <xdr:from>
      <xdr:col>17</xdr:col>
      <xdr:colOff>371475</xdr:colOff>
      <xdr:row>20</xdr:row>
      <xdr:rowOff>19050</xdr:rowOff>
    </xdr:from>
    <xdr:to>
      <xdr:col>25</xdr:col>
      <xdr:colOff>352425</xdr:colOff>
      <xdr:row>26</xdr:row>
      <xdr:rowOff>28575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4492185-DF87-6265-0CB4-A2C7E5C17F9D}"/>
            </a:ext>
            <a:ext uri="{147F2762-F138-4A5C-976F-8EAC2B608ADB}">
              <a16:predDERef xmlns:a16="http://schemas.microsoft.com/office/drawing/2014/main" pred="{D5E95CF4-76A8-8FF1-715C-7F063C8B117D}"/>
            </a:ext>
          </a:extLst>
        </xdr:cNvPr>
        <xdr:cNvSpPr txBox="1"/>
      </xdr:nvSpPr>
      <xdr:spPr>
        <a:xfrm>
          <a:off x="10734675" y="3829050"/>
          <a:ext cx="4857750" cy="1152525"/>
        </a:xfrm>
        <a:prstGeom prst="flowChartAlternateProcess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The ROIC shows that the company has maintained itself in the profitability zone during the 5-year period  with a significant increase after 2020 indicating positive growth.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The ROIC trend confirms that reinvestments are generating sufficient returns to support future cash flow and dividends. </a:t>
          </a:r>
        </a:p>
      </xdr:txBody>
    </xdr:sp>
    <xdr:clientData/>
  </xdr:twoCellAnchor>
  <xdr:twoCellAnchor>
    <xdr:from>
      <xdr:col>9</xdr:col>
      <xdr:colOff>38100</xdr:colOff>
      <xdr:row>46</xdr:row>
      <xdr:rowOff>180975</xdr:rowOff>
    </xdr:from>
    <xdr:to>
      <xdr:col>17</xdr:col>
      <xdr:colOff>76200</xdr:colOff>
      <xdr:row>54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A4F4B7-01D8-C508-23CD-D78AF51A4CEA}"/>
            </a:ext>
            <a:ext uri="{147F2762-F138-4A5C-976F-8EAC2B608ADB}">
              <a16:predDERef xmlns:a16="http://schemas.microsoft.com/office/drawing/2014/main" pred="{B4492185-DF87-6265-0CB4-A2C7E5C17F9D}"/>
            </a:ext>
          </a:extLst>
        </xdr:cNvPr>
        <xdr:cNvSpPr txBox="1"/>
      </xdr:nvSpPr>
      <xdr:spPr>
        <a:xfrm>
          <a:off x="5524500" y="8943975"/>
          <a:ext cx="4914900" cy="1343025"/>
        </a:xfrm>
        <a:prstGeom prst="flowChartAlternateProcess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The free cash flow grew significantly between 2019 and 2022 with a sustained growth starting after 2020. 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The accelerated growth between 2021 and 2022 might be related to the drop in the reinvestment rate.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The surge in cash flows after the pandemic can be driven by sector-specific revenue boosters, improved margins (cost-cutting measures), moderated reinvestment, and debt management.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25</xdr:col>
      <xdr:colOff>542925</xdr:colOff>
      <xdr:row>20</xdr:row>
      <xdr:rowOff>9525</xdr:rowOff>
    </xdr:from>
    <xdr:to>
      <xdr:col>33</xdr:col>
      <xdr:colOff>428625</xdr:colOff>
      <xdr:row>26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102C26-EAFC-2854-6758-A8C4BF9ED673}"/>
            </a:ext>
            <a:ext uri="{147F2762-F138-4A5C-976F-8EAC2B608ADB}">
              <a16:predDERef xmlns:a16="http://schemas.microsoft.com/office/drawing/2014/main" pred="{13A4F4B7-01D8-C508-23CD-D78AF51A4CEA}"/>
            </a:ext>
          </a:extLst>
        </xdr:cNvPr>
        <xdr:cNvSpPr txBox="1"/>
      </xdr:nvSpPr>
      <xdr:spPr>
        <a:xfrm>
          <a:off x="15782925" y="3819525"/>
          <a:ext cx="4762500" cy="1133475"/>
        </a:xfrm>
        <a:prstGeom prst="flowChartAlternateProcess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In the years leading to the pandemic there has been a decline in gross cash flow followed by a significant increase after 2020 suggesting a sharp recovery that may be driven by the pandemic itself.</a:t>
          </a:r>
        </a:p>
      </xdr:txBody>
    </xdr:sp>
    <xdr:clientData/>
  </xdr:twoCellAnchor>
  <xdr:twoCellAnchor>
    <xdr:from>
      <xdr:col>0</xdr:col>
      <xdr:colOff>476250</xdr:colOff>
      <xdr:row>47</xdr:row>
      <xdr:rowOff>9525</xdr:rowOff>
    </xdr:from>
    <xdr:to>
      <xdr:col>8</xdr:col>
      <xdr:colOff>304800</xdr:colOff>
      <xdr:row>53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6FC63CC-A2F9-12B4-BFE0-6504419DC23E}"/>
            </a:ext>
            <a:ext uri="{147F2762-F138-4A5C-976F-8EAC2B608ADB}">
              <a16:predDERef xmlns:a16="http://schemas.microsoft.com/office/drawing/2014/main" pred="{79102C26-EAFC-2854-6758-A8C4BF9ED673}"/>
            </a:ext>
          </a:extLst>
        </xdr:cNvPr>
        <xdr:cNvSpPr txBox="1"/>
      </xdr:nvSpPr>
      <xdr:spPr>
        <a:xfrm>
          <a:off x="476250" y="8963025"/>
          <a:ext cx="4705350" cy="1314450"/>
        </a:xfrm>
        <a:prstGeom prst="round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A</a:t>
          </a:r>
          <a:r>
            <a:rPr lang="en-US" sz="1100">
              <a:latin typeface="+mn-lt"/>
              <a:ea typeface="+mn-lt"/>
              <a:cs typeface="+mn-lt"/>
            </a:rPr>
            <a:t>n increase in the reinvestment rate between 2020 and 2021 can likely be explained by pandemic-E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ra</a:t>
          </a:r>
          <a:r>
            <a:rPr lang="en-US" sz="1100">
              <a:latin typeface="+mn-lt"/>
              <a:ea typeface="+mn-lt"/>
              <a:cs typeface="+mn-lt"/>
            </a:rPr>
            <a:t> investments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driven by the need to invest in technology, growth opportunities and government support</a:t>
          </a:r>
          <a:r>
            <a:rPr lang="en-US" sz="1100">
              <a:latin typeface="+mn-lt"/>
              <a:ea typeface="+mn-lt"/>
              <a:cs typeface="+mn-lt"/>
            </a:rPr>
            <a:t>.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 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The decline between 2021 and 2022 can probably be explained by post-pandemic decline driven by normalization, inflation and increasing economic caution. 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17</xdr:col>
      <xdr:colOff>352425</xdr:colOff>
      <xdr:row>47</xdr:row>
      <xdr:rowOff>9525</xdr:rowOff>
    </xdr:from>
    <xdr:to>
      <xdr:col>33</xdr:col>
      <xdr:colOff>409575</xdr:colOff>
      <xdr:row>54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6F26A70-1BAF-32A2-4943-5DFA6775F947}"/>
            </a:ext>
            <a:ext uri="{147F2762-F138-4A5C-976F-8EAC2B608ADB}">
              <a16:predDERef xmlns:a16="http://schemas.microsoft.com/office/drawing/2014/main" pred="{66FC63CC-A2F9-12B4-BFE0-6504419DC23E}"/>
            </a:ext>
          </a:extLst>
        </xdr:cNvPr>
        <xdr:cNvSpPr txBox="1"/>
      </xdr:nvSpPr>
      <xdr:spPr>
        <a:xfrm>
          <a:off x="10715625" y="8963025"/>
          <a:ext cx="9810750" cy="1343025"/>
        </a:xfrm>
        <a:prstGeom prst="flowChartAlternateProcess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The sustained increase in dividends starting before the pandemic indicates that the company prioritizes rewarding investors, signaling confidence in its cash-generating abilities.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Sustained dividend growth often reflects a mature company in a stable or slow-growing market, as opposed to companies reinvesting heavily for growth.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- Paired with the sustained FCF growth, the sustained dividend increase should boost investors confidence.  </a:t>
          </a:r>
        </a:p>
      </xdr:txBody>
    </xdr:sp>
    <xdr:clientData/>
  </xdr:twoCellAnchor>
  <xdr:twoCellAnchor>
    <xdr:from>
      <xdr:col>25</xdr:col>
      <xdr:colOff>476250</xdr:colOff>
      <xdr:row>27</xdr:row>
      <xdr:rowOff>133350</xdr:rowOff>
    </xdr:from>
    <xdr:to>
      <xdr:col>33</xdr:col>
      <xdr:colOff>400050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A8446-99EA-4C93-83F7-4DCE4E9A72BA}"/>
            </a:ext>
            <a:ext uri="{147F2762-F138-4A5C-976F-8EAC2B608ADB}">
              <a16:predDERef xmlns:a16="http://schemas.microsoft.com/office/drawing/2014/main" pred="{E6F26A70-1BAF-32A2-4943-5DFA6775F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561975</xdr:colOff>
      <xdr:row>0</xdr:row>
      <xdr:rowOff>123825</xdr:rowOff>
    </xdr:from>
    <xdr:to>
      <xdr:col>20</xdr:col>
      <xdr:colOff>400050</xdr:colOff>
      <xdr:row>3</xdr:row>
      <xdr:rowOff>19050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3BC9710-1C1B-FF79-1B91-9E53BCFD6763}"/>
            </a:ext>
            <a:ext uri="{147F2762-F138-4A5C-976F-8EAC2B608ADB}">
              <a16:predDERef xmlns:a16="http://schemas.microsoft.com/office/drawing/2014/main" pred="{356A8446-99EA-4C93-83F7-4DCE4E9A72BA}"/>
            </a:ext>
          </a:extLst>
        </xdr:cNvPr>
        <xdr:cNvSpPr txBox="1"/>
      </xdr:nvSpPr>
      <xdr:spPr>
        <a:xfrm>
          <a:off x="7877175" y="123825"/>
          <a:ext cx="4714875" cy="466725"/>
        </a:xfrm>
        <a:prstGeom prst="roundRect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Merck FCF &amp; Dividend Payments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CA5931A-297E-4640-AA1C-332DA0292A53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h6rO-RNEG_ekLW53sLa2k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330E-E35D-42BC-9CFE-459BC5F97FD1}">
  <dimension ref="A1:AH69"/>
  <sheetViews>
    <sheetView tabSelected="1" workbookViewId="0">
      <selection sqref="A1:AH69"/>
    </sheetView>
  </sheetViews>
  <sheetFormatPr defaultRowHeight="15"/>
  <sheetData>
    <row r="1" spans="1:3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spans="1:3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spans="1:3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spans="1:3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spans="1:3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spans="1:3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spans="1:3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3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spans="1:3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1:3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1:3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1:3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 spans="1:3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 spans="1:3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1:3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1:3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 spans="1:3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 spans="1:3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 spans="1:34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1:34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 spans="1:3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 spans="1:34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 spans="1:34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 spans="1:34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r="58" spans="1:34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 spans="1:34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 spans="1:34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 spans="1:34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 spans="1:34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</sheetData>
  <mergeCells count="1">
    <mergeCell ref="A1:AH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zoomScale="150" zoomScaleNormal="150" zoomScalePageLayoutView="150" workbookViewId="0">
      <selection activeCell="B31" sqref="B31"/>
    </sheetView>
  </sheetViews>
  <sheetFormatPr defaultColWidth="8.85546875" defaultRowHeight="15"/>
  <cols>
    <col min="1" max="1" width="39.28515625" bestFit="1" customWidth="1"/>
    <col min="2" max="6" width="12.28515625" customWidth="1"/>
  </cols>
  <sheetData>
    <row r="2" spans="1:6">
      <c r="A2" t="s">
        <v>0</v>
      </c>
    </row>
    <row r="4" spans="1:6">
      <c r="A4" s="2" t="s">
        <v>1</v>
      </c>
      <c r="B4" s="2">
        <f t="shared" ref="B4:D4" si="0">C4-1</f>
        <v>2018</v>
      </c>
      <c r="C4" s="2">
        <f t="shared" si="0"/>
        <v>2019</v>
      </c>
      <c r="D4" s="2">
        <f t="shared" si="0"/>
        <v>2020</v>
      </c>
      <c r="E4" s="2">
        <f>F4-1</f>
        <v>2021</v>
      </c>
      <c r="F4" s="2">
        <v>2022</v>
      </c>
    </row>
    <row r="5" spans="1:6">
      <c r="A5" s="3" t="s">
        <v>2</v>
      </c>
      <c r="B5" s="4">
        <v>42294</v>
      </c>
      <c r="C5" s="4">
        <v>39121</v>
      </c>
      <c r="D5" s="4">
        <v>41518</v>
      </c>
      <c r="E5" s="4">
        <v>48704</v>
      </c>
      <c r="F5" s="4">
        <v>59283</v>
      </c>
    </row>
    <row r="6" spans="1:6">
      <c r="A6" s="5" t="s">
        <v>3</v>
      </c>
      <c r="B6" s="6">
        <v>13509</v>
      </c>
      <c r="C6" s="6">
        <v>12016</v>
      </c>
      <c r="D6" s="6">
        <v>13618</v>
      </c>
      <c r="E6" s="6">
        <v>13626</v>
      </c>
      <c r="F6" s="6">
        <v>17411</v>
      </c>
    </row>
    <row r="7" spans="1:6">
      <c r="A7" s="3" t="s">
        <v>4</v>
      </c>
      <c r="B7" s="4">
        <v>28785</v>
      </c>
      <c r="C7" s="4">
        <v>27105</v>
      </c>
      <c r="D7" s="4">
        <v>27900</v>
      </c>
      <c r="E7" s="4">
        <v>35078</v>
      </c>
      <c r="F7" s="4">
        <v>41872</v>
      </c>
    </row>
    <row r="8" spans="1:6">
      <c r="A8" s="5" t="s">
        <v>5</v>
      </c>
      <c r="B8" s="7">
        <v>68.059299999999993</v>
      </c>
      <c r="C8" s="7">
        <v>69.284999999999997</v>
      </c>
      <c r="D8" s="7">
        <v>67.199799999999996</v>
      </c>
      <c r="E8" s="7">
        <v>72.022800000000004</v>
      </c>
      <c r="F8" s="7">
        <v>70.630700000000004</v>
      </c>
    </row>
    <row r="9" spans="1:6">
      <c r="A9" s="3" t="s">
        <v>6</v>
      </c>
      <c r="B9" s="4">
        <v>10102</v>
      </c>
      <c r="C9" s="4">
        <v>9455</v>
      </c>
      <c r="D9" s="4">
        <v>8955</v>
      </c>
      <c r="E9" s="4">
        <v>9634</v>
      </c>
      <c r="F9" s="4">
        <v>10042</v>
      </c>
    </row>
    <row r="10" spans="1:6">
      <c r="A10" s="5" t="s">
        <v>7</v>
      </c>
      <c r="B10" s="7">
        <v>23.885200000000001</v>
      </c>
      <c r="C10" s="7">
        <v>24.168600000000001</v>
      </c>
      <c r="D10" s="7">
        <v>21.568999999999999</v>
      </c>
      <c r="E10" s="7">
        <v>19.7807</v>
      </c>
      <c r="F10" s="7">
        <v>16.9391</v>
      </c>
    </row>
    <row r="11" spans="1:6">
      <c r="A11" s="3" t="s">
        <v>8</v>
      </c>
      <c r="B11" s="4">
        <v>12818</v>
      </c>
      <c r="C11" s="4">
        <v>10949</v>
      </c>
      <c r="D11" s="4">
        <v>8805</v>
      </c>
      <c r="E11" s="4">
        <v>16095</v>
      </c>
      <c r="F11" s="4">
        <v>22188</v>
      </c>
    </row>
    <row r="12" spans="1:6">
      <c r="A12" s="5" t="s">
        <v>9</v>
      </c>
      <c r="B12" s="6">
        <v>4519</v>
      </c>
      <c r="C12" s="6">
        <v>3310</v>
      </c>
      <c r="D12" s="6">
        <v>3486</v>
      </c>
      <c r="E12" s="6">
        <v>3214</v>
      </c>
      <c r="F12" s="6">
        <v>3909</v>
      </c>
    </row>
    <row r="13" spans="1:6">
      <c r="A13" s="3" t="s">
        <v>10</v>
      </c>
      <c r="B13" s="4">
        <v>8299</v>
      </c>
      <c r="C13" s="4">
        <v>7300</v>
      </c>
      <c r="D13" s="4">
        <v>4973</v>
      </c>
      <c r="E13" s="4">
        <v>12538</v>
      </c>
      <c r="F13" s="4">
        <v>17945</v>
      </c>
    </row>
    <row r="14" spans="1:6">
      <c r="A14" s="5" t="s">
        <v>11</v>
      </c>
      <c r="B14" s="6">
        <v>8701</v>
      </c>
      <c r="C14" s="6">
        <v>7171</v>
      </c>
      <c r="D14" s="6">
        <v>5863</v>
      </c>
      <c r="E14" s="6">
        <v>13879</v>
      </c>
      <c r="F14" s="6">
        <v>16444</v>
      </c>
    </row>
    <row r="15" spans="1:6">
      <c r="A15" s="3" t="s">
        <v>12</v>
      </c>
      <c r="B15" s="4">
        <v>772</v>
      </c>
      <c r="C15" s="4">
        <v>893</v>
      </c>
      <c r="D15" s="4">
        <v>831</v>
      </c>
      <c r="E15" s="4">
        <v>806</v>
      </c>
      <c r="F15" s="4">
        <v>962</v>
      </c>
    </row>
    <row r="16" spans="1:6">
      <c r="A16" s="5" t="s">
        <v>13</v>
      </c>
      <c r="B16" s="6">
        <v>2508</v>
      </c>
      <c r="C16" s="6">
        <v>1565</v>
      </c>
      <c r="D16" s="6">
        <v>1340</v>
      </c>
      <c r="E16" s="6">
        <v>1521</v>
      </c>
      <c r="F16" s="6">
        <v>1918</v>
      </c>
    </row>
    <row r="17" spans="1:6">
      <c r="A17" s="3" t="s">
        <v>14</v>
      </c>
      <c r="B17" s="3">
        <v>6220</v>
      </c>
      <c r="C17" s="3">
        <v>9843</v>
      </c>
      <c r="D17" s="3">
        <v>7067</v>
      </c>
      <c r="E17" s="16">
        <v>13049</v>
      </c>
      <c r="F17" s="16">
        <v>14519</v>
      </c>
    </row>
    <row r="18" spans="1:6">
      <c r="A18" s="5" t="s">
        <v>15</v>
      </c>
      <c r="B18" s="7">
        <v>14.7066</v>
      </c>
      <c r="C18" s="7">
        <v>25.160399999999999</v>
      </c>
      <c r="D18" s="7">
        <v>17.0215</v>
      </c>
      <c r="E18" s="7">
        <v>26.7925</v>
      </c>
      <c r="F18" s="7">
        <v>24.491</v>
      </c>
    </row>
    <row r="19" spans="1:6">
      <c r="A19" s="3" t="s">
        <v>16</v>
      </c>
      <c r="B19" s="4">
        <v>7965</v>
      </c>
      <c r="C19" s="4">
        <v>9676</v>
      </c>
      <c r="D19" s="4">
        <v>8050</v>
      </c>
      <c r="E19" s="4">
        <v>8096</v>
      </c>
      <c r="F19" s="4">
        <v>12694</v>
      </c>
    </row>
    <row r="20" spans="1:6">
      <c r="A20" s="5" t="s">
        <v>17</v>
      </c>
      <c r="B20" s="6">
        <v>7071</v>
      </c>
      <c r="C20" s="6">
        <v>6778</v>
      </c>
      <c r="D20" s="6">
        <v>6803</v>
      </c>
      <c r="E20" s="6">
        <v>9230</v>
      </c>
      <c r="F20" s="6">
        <v>9450</v>
      </c>
    </row>
    <row r="21" spans="1:6">
      <c r="A21" s="3" t="s">
        <v>18</v>
      </c>
      <c r="B21" s="4">
        <v>5440</v>
      </c>
      <c r="C21" s="4">
        <v>5978</v>
      </c>
      <c r="D21" s="4">
        <v>5554</v>
      </c>
      <c r="E21" s="4">
        <v>5953</v>
      </c>
      <c r="F21" s="4">
        <v>5911</v>
      </c>
    </row>
    <row r="22" spans="1:6">
      <c r="A22" s="5" t="s">
        <v>19</v>
      </c>
      <c r="B22" s="6">
        <v>13291</v>
      </c>
      <c r="C22" s="6">
        <v>16126</v>
      </c>
      <c r="D22" s="6">
        <v>18725</v>
      </c>
      <c r="E22" s="6">
        <v>20865</v>
      </c>
      <c r="F22" s="6">
        <v>22768</v>
      </c>
    </row>
    <row r="23" spans="1:6">
      <c r="A23" s="3" t="s">
        <v>20</v>
      </c>
      <c r="B23" s="4">
        <v>3318</v>
      </c>
      <c r="C23" s="4">
        <v>3738</v>
      </c>
      <c r="D23" s="4">
        <v>4327</v>
      </c>
      <c r="E23" s="4">
        <v>4609</v>
      </c>
      <c r="F23" s="4">
        <v>4264</v>
      </c>
    </row>
    <row r="24" spans="1:6">
      <c r="A24" s="5" t="s">
        <v>21</v>
      </c>
      <c r="B24" s="6">
        <v>22206</v>
      </c>
      <c r="C24" s="6">
        <v>22220</v>
      </c>
      <c r="D24" s="6">
        <v>27327</v>
      </c>
      <c r="E24" s="6">
        <v>23872</v>
      </c>
      <c r="F24" s="6">
        <v>24239</v>
      </c>
    </row>
    <row r="25" spans="1:6">
      <c r="A25" s="3" t="s">
        <v>22</v>
      </c>
      <c r="B25" s="4">
        <v>25114</v>
      </c>
      <c r="C25" s="4">
        <v>27350</v>
      </c>
      <c r="D25" s="4">
        <v>33453</v>
      </c>
      <c r="E25" s="4">
        <v>34631</v>
      </c>
      <c r="F25" s="4">
        <v>31985</v>
      </c>
    </row>
    <row r="26" spans="1:6">
      <c r="A26" s="5" t="s">
        <v>23</v>
      </c>
      <c r="B26" s="6">
        <v>55755</v>
      </c>
      <c r="C26" s="6">
        <v>58396</v>
      </c>
      <c r="D26" s="6">
        <v>66184</v>
      </c>
      <c r="E26" s="6">
        <v>67437</v>
      </c>
      <c r="F26" s="6">
        <v>63102</v>
      </c>
    </row>
    <row r="27" spans="1:6">
      <c r="A27" s="3" t="s">
        <v>24</v>
      </c>
      <c r="B27" s="4">
        <v>25875</v>
      </c>
      <c r="C27" s="4">
        <v>27483</v>
      </c>
      <c r="D27" s="4">
        <v>27764</v>
      </c>
      <c r="E27" s="4">
        <v>30266</v>
      </c>
      <c r="F27" s="4">
        <v>35722</v>
      </c>
    </row>
    <row r="28" spans="1:6">
      <c r="A28" s="5" t="s">
        <v>25</v>
      </c>
      <c r="B28" s="6">
        <v>82637</v>
      </c>
      <c r="C28" s="6">
        <v>84397</v>
      </c>
      <c r="D28" s="6">
        <v>91588</v>
      </c>
      <c r="E28" s="6">
        <v>105694</v>
      </c>
      <c r="F28" s="6">
        <v>109160</v>
      </c>
    </row>
    <row r="29" spans="1:6">
      <c r="A29" s="3" t="s">
        <v>26</v>
      </c>
      <c r="B29" s="4">
        <v>26882</v>
      </c>
      <c r="C29" s="4">
        <v>26001</v>
      </c>
      <c r="D29" s="4">
        <v>25404</v>
      </c>
      <c r="E29" s="4">
        <v>38257</v>
      </c>
      <c r="F29" s="4">
        <v>46058</v>
      </c>
    </row>
    <row r="30" spans="1:6">
      <c r="A30" s="5" t="s">
        <v>16</v>
      </c>
      <c r="B30" s="6">
        <v>7965</v>
      </c>
      <c r="C30" s="6">
        <v>9676</v>
      </c>
      <c r="D30" s="6">
        <v>8050</v>
      </c>
      <c r="E30" s="6">
        <v>8096</v>
      </c>
      <c r="F30" s="6">
        <v>12694</v>
      </c>
    </row>
    <row r="31" spans="1:6">
      <c r="A31" s="3" t="s">
        <v>27</v>
      </c>
      <c r="B31" s="8">
        <v>9.0716999999999999</v>
      </c>
      <c r="C31" s="8">
        <v>6.6547000000000001</v>
      </c>
      <c r="D31" s="8">
        <v>5.2994000000000003</v>
      </c>
      <c r="E31" s="8">
        <v>6.0500999999999996</v>
      </c>
      <c r="F31" s="8">
        <v>5.9101999999999997</v>
      </c>
    </row>
    <row r="32" spans="1:6">
      <c r="A32" s="5" t="s">
        <v>28</v>
      </c>
      <c r="B32" s="6">
        <v>2615</v>
      </c>
      <c r="C32" s="6">
        <v>3369</v>
      </c>
      <c r="D32" s="6">
        <v>4429</v>
      </c>
      <c r="E32" s="6">
        <v>4448</v>
      </c>
      <c r="F32" s="6">
        <v>4388</v>
      </c>
    </row>
    <row r="33" spans="1:6">
      <c r="A33" s="3" t="s">
        <v>29</v>
      </c>
      <c r="B33" s="4">
        <v>5172</v>
      </c>
      <c r="C33" s="4">
        <v>5695</v>
      </c>
      <c r="D33" s="4">
        <v>6215</v>
      </c>
      <c r="E33" s="4">
        <v>6610</v>
      </c>
      <c r="F33" s="4">
        <v>7012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opLeftCell="A18" zoomScale="149" zoomScaleNormal="150" zoomScalePageLayoutView="150" workbookViewId="0">
      <selection activeCell="F45" sqref="F45"/>
    </sheetView>
  </sheetViews>
  <sheetFormatPr defaultColWidth="10.85546875" defaultRowHeight="12.95"/>
  <cols>
    <col min="1" max="1" width="38.42578125" style="1" bestFit="1" customWidth="1"/>
    <col min="2" max="2" width="44.7109375" style="1" customWidth="1"/>
    <col min="3" max="7" width="12" style="1" customWidth="1"/>
    <col min="8" max="16384" width="10.85546875" style="1"/>
  </cols>
  <sheetData>
    <row r="1" spans="1:7">
      <c r="B1" s="1" t="s">
        <v>30</v>
      </c>
      <c r="C1" s="15">
        <f>Data!B4</f>
        <v>2018</v>
      </c>
      <c r="D1" s="15">
        <f>Data!C4</f>
        <v>2019</v>
      </c>
      <c r="E1" s="15">
        <f>Data!D4</f>
        <v>2020</v>
      </c>
      <c r="F1" s="15">
        <f>Data!E4</f>
        <v>2021</v>
      </c>
      <c r="G1" s="15">
        <f>Data!F4</f>
        <v>2022</v>
      </c>
    </row>
    <row r="2" spans="1:7" ht="15">
      <c r="A2" s="9" t="s">
        <v>22</v>
      </c>
      <c r="B2" s="10"/>
      <c r="C2" s="17">
        <v>25114</v>
      </c>
      <c r="D2" s="17">
        <v>27350</v>
      </c>
      <c r="E2" s="17">
        <v>33453</v>
      </c>
      <c r="F2" s="17">
        <v>34631</v>
      </c>
      <c r="G2" s="17">
        <v>31985</v>
      </c>
    </row>
    <row r="3" spans="1:7" ht="15">
      <c r="A3" s="10" t="s">
        <v>26</v>
      </c>
      <c r="B3" s="11"/>
      <c r="C3" s="18">
        <v>26882</v>
      </c>
      <c r="D3" s="18">
        <v>26001</v>
      </c>
      <c r="E3" s="18">
        <v>25404</v>
      </c>
      <c r="F3" s="18">
        <v>38257</v>
      </c>
      <c r="G3" s="18">
        <v>46058</v>
      </c>
    </row>
    <row r="4" spans="1:7" ht="15">
      <c r="A4" s="9" t="s">
        <v>31</v>
      </c>
      <c r="B4" s="10" t="s">
        <v>32</v>
      </c>
      <c r="C4" s="17">
        <f t="shared" ref="C4" si="0">SUM(C2:C3)</f>
        <v>51996</v>
      </c>
      <c r="D4" s="17">
        <f>SUM(D2:D3)</f>
        <v>53351</v>
      </c>
      <c r="E4" s="17">
        <f>SUM(E2:E3)</f>
        <v>58857</v>
      </c>
      <c r="F4" s="17">
        <f t="shared" ref="F4:G4" si="1">SUM(F2:F3)</f>
        <v>72888</v>
      </c>
      <c r="G4" s="17">
        <f t="shared" si="1"/>
        <v>78043</v>
      </c>
    </row>
    <row r="6" spans="1:7">
      <c r="C6" s="15">
        <f t="shared" ref="C6:D6" si="2">C12</f>
        <v>2018</v>
      </c>
      <c r="D6" s="15">
        <f t="shared" si="2"/>
        <v>2019</v>
      </c>
      <c r="E6" s="15">
        <f t="shared" ref="E6:G6" si="3">E12</f>
        <v>2020</v>
      </c>
      <c r="F6" s="15">
        <f t="shared" si="3"/>
        <v>2021</v>
      </c>
      <c r="G6" s="15">
        <f t="shared" si="3"/>
        <v>2022</v>
      </c>
    </row>
    <row r="7" spans="1:7" ht="15">
      <c r="A7" s="9" t="s">
        <v>13</v>
      </c>
      <c r="B7" s="10"/>
      <c r="C7" s="6">
        <v>2508</v>
      </c>
      <c r="D7" s="6">
        <v>1565</v>
      </c>
      <c r="E7" s="6">
        <v>1340</v>
      </c>
      <c r="F7" s="6">
        <v>1521</v>
      </c>
      <c r="G7" s="6">
        <v>1918</v>
      </c>
    </row>
    <row r="8" spans="1:7" ht="15">
      <c r="A8" s="10" t="s">
        <v>11</v>
      </c>
      <c r="B8" s="11"/>
      <c r="C8" s="6">
        <v>8701</v>
      </c>
      <c r="D8" s="6">
        <v>7171</v>
      </c>
      <c r="E8" s="6">
        <v>5863</v>
      </c>
      <c r="F8" s="6">
        <v>13879</v>
      </c>
      <c r="G8" s="6">
        <v>16444</v>
      </c>
    </row>
    <row r="10" spans="1:7">
      <c r="A10" s="10" t="s">
        <v>33</v>
      </c>
      <c r="B10" s="11" t="s">
        <v>34</v>
      </c>
      <c r="C10" s="12">
        <f t="shared" ref="C10" si="4">C7/C8</f>
        <v>0.28824273072060685</v>
      </c>
      <c r="D10" s="12">
        <f>D7/D8</f>
        <v>0.21824013387254218</v>
      </c>
      <c r="E10" s="12">
        <f>E7/E8</f>
        <v>0.22855193586900904</v>
      </c>
      <c r="F10" s="12">
        <f t="shared" ref="F10:G10" si="5">F7/F8</f>
        <v>0.1095900281000072</v>
      </c>
      <c r="G10" s="12">
        <f t="shared" si="5"/>
        <v>0.11663828752128436</v>
      </c>
    </row>
    <row r="12" spans="1:7">
      <c r="C12" s="15">
        <f>C1</f>
        <v>2018</v>
      </c>
      <c r="D12" s="15">
        <f>D1</f>
        <v>2019</v>
      </c>
      <c r="E12" s="15">
        <f>E1</f>
        <v>2020</v>
      </c>
      <c r="F12" s="15">
        <f t="shared" ref="F12:G12" si="6">F1</f>
        <v>2021</v>
      </c>
      <c r="G12" s="15">
        <f t="shared" si="6"/>
        <v>2022</v>
      </c>
    </row>
    <row r="13" spans="1:7" ht="15">
      <c r="A13" s="9" t="s">
        <v>10</v>
      </c>
      <c r="B13" s="10"/>
      <c r="C13" s="4">
        <v>8299</v>
      </c>
      <c r="D13" s="4">
        <v>7300</v>
      </c>
      <c r="E13" s="4">
        <v>4973</v>
      </c>
      <c r="F13" s="4">
        <v>12538</v>
      </c>
      <c r="G13" s="4">
        <v>17945</v>
      </c>
    </row>
    <row r="14" spans="1:7" ht="12.75">
      <c r="A14" s="10" t="s">
        <v>33</v>
      </c>
      <c r="B14" s="11"/>
      <c r="C14" s="13">
        <f t="shared" ref="C14" si="7">C10</f>
        <v>0.28824273072060685</v>
      </c>
      <c r="D14" s="13">
        <f>D10</f>
        <v>0.21824013387254218</v>
      </c>
      <c r="E14" s="13">
        <f>E10</f>
        <v>0.22855193586900904</v>
      </c>
      <c r="F14" s="13">
        <f t="shared" ref="F14:G14" si="8">F10</f>
        <v>0.1095900281000072</v>
      </c>
      <c r="G14" s="13">
        <f t="shared" si="8"/>
        <v>0.11663828752128436</v>
      </c>
    </row>
    <row r="15" spans="1:7" ht="15">
      <c r="A15" s="9" t="s">
        <v>35</v>
      </c>
      <c r="B15" s="10" t="s">
        <v>36</v>
      </c>
      <c r="C15" s="6">
        <f t="shared" ref="C15" si="9">C13*(1-C14)</f>
        <v>5906.873577749684</v>
      </c>
      <c r="D15" s="6">
        <f>D13*(1-D14)</f>
        <v>5706.8470227304424</v>
      </c>
      <c r="E15" s="6">
        <f>E13*(1-E14)</f>
        <v>3836.4112229234183</v>
      </c>
      <c r="F15" s="6">
        <f t="shared" ref="F15:G15" si="10">F13*(1-F14)</f>
        <v>11163.96022768211</v>
      </c>
      <c r="G15" s="6">
        <f t="shared" si="10"/>
        <v>15851.925930430552</v>
      </c>
    </row>
    <row r="16" spans="1:7" ht="15">
      <c r="A16" s="10" t="s">
        <v>31</v>
      </c>
      <c r="B16" s="11"/>
      <c r="C16" s="4">
        <f>C4</f>
        <v>51996</v>
      </c>
      <c r="D16" s="4">
        <f>D4</f>
        <v>53351</v>
      </c>
      <c r="E16" s="4">
        <f>E4</f>
        <v>58857</v>
      </c>
      <c r="F16" s="4">
        <f t="shared" ref="F16:G16" si="11">F4</f>
        <v>72888</v>
      </c>
      <c r="G16" s="4">
        <f t="shared" si="11"/>
        <v>78043</v>
      </c>
    </row>
    <row r="18" spans="1:7" ht="12.75">
      <c r="A18" s="10" t="s">
        <v>37</v>
      </c>
      <c r="B18" s="11" t="s">
        <v>38</v>
      </c>
      <c r="C18" s="13">
        <f>C15/C16</f>
        <v>0.11360246129990161</v>
      </c>
      <c r="D18" s="13">
        <f>D15/D16</f>
        <v>0.10696794854324085</v>
      </c>
      <c r="E18" s="13">
        <f>E15/E16</f>
        <v>6.5181902287296645E-2</v>
      </c>
      <c r="F18" s="13">
        <f>F15/F16</f>
        <v>0.15316595636705782</v>
      </c>
      <c r="G18" s="13">
        <f>G15/G16</f>
        <v>0.20311784439899225</v>
      </c>
    </row>
    <row r="19" spans="1:7" ht="12.75">
      <c r="A19" s="9" t="s">
        <v>27</v>
      </c>
      <c r="B19" s="10"/>
      <c r="C19" s="13">
        <v>9.0717000000000006E-2</v>
      </c>
      <c r="D19" s="13">
        <v>6.6546999999999995E-2</v>
      </c>
      <c r="E19" s="13">
        <v>5.2993999999999999E-2</v>
      </c>
      <c r="F19" s="13">
        <v>6.0500999999999999E-2</v>
      </c>
      <c r="G19" s="13">
        <v>5.9102000000000002E-2</v>
      </c>
    </row>
    <row r="22" spans="1:7">
      <c r="C22" s="15">
        <f>D22-1</f>
        <v>2018</v>
      </c>
      <c r="D22" s="15">
        <f>D12</f>
        <v>2019</v>
      </c>
      <c r="E22" s="15">
        <f>E12</f>
        <v>2020</v>
      </c>
      <c r="F22" s="15">
        <f t="shared" ref="F22:G22" si="12">F12</f>
        <v>2021</v>
      </c>
      <c r="G22" s="15">
        <f t="shared" si="12"/>
        <v>2022</v>
      </c>
    </row>
    <row r="23" spans="1:7" ht="15">
      <c r="A23" s="9" t="s">
        <v>39</v>
      </c>
      <c r="B23" s="10"/>
      <c r="C23" s="6">
        <f t="shared" ref="C23:D23" si="13">C15</f>
        <v>5906.873577749684</v>
      </c>
      <c r="D23" s="6">
        <f t="shared" si="13"/>
        <v>5706.8470227304424</v>
      </c>
      <c r="E23" s="6">
        <f t="shared" ref="E23:G23" si="14">E15</f>
        <v>3836.4112229234183</v>
      </c>
      <c r="F23" s="6">
        <f t="shared" si="14"/>
        <v>11163.96022768211</v>
      </c>
      <c r="G23" s="6">
        <f t="shared" si="14"/>
        <v>15851.925930430552</v>
      </c>
    </row>
    <row r="24" spans="1:7" ht="15">
      <c r="A24" s="10" t="s">
        <v>9</v>
      </c>
      <c r="B24" s="11"/>
      <c r="C24" s="6">
        <v>4519</v>
      </c>
      <c r="D24" s="6">
        <v>3310</v>
      </c>
      <c r="E24" s="6">
        <v>3486</v>
      </c>
      <c r="F24" s="6">
        <v>3214</v>
      </c>
      <c r="G24" s="6">
        <v>3909</v>
      </c>
    </row>
    <row r="25" spans="1:7" ht="15">
      <c r="A25" s="9" t="s">
        <v>40</v>
      </c>
      <c r="B25" s="10" t="s">
        <v>41</v>
      </c>
      <c r="C25" s="6">
        <f t="shared" ref="C25:D25" si="15">C23+C24</f>
        <v>10425.873577749684</v>
      </c>
      <c r="D25" s="6">
        <f t="shared" si="15"/>
        <v>9016.8470227304424</v>
      </c>
      <c r="E25" s="6">
        <f t="shared" ref="E25:G25" si="16">E23+E24</f>
        <v>7322.4112229234179</v>
      </c>
      <c r="F25" s="6">
        <f t="shared" si="16"/>
        <v>14377.96022768211</v>
      </c>
      <c r="G25" s="6">
        <f t="shared" si="16"/>
        <v>19760.925930430552</v>
      </c>
    </row>
    <row r="28" spans="1:7">
      <c r="C28" s="15">
        <f>C22</f>
        <v>2018</v>
      </c>
      <c r="D28" s="15">
        <f>D22</f>
        <v>2019</v>
      </c>
      <c r="E28" s="15">
        <f>E22</f>
        <v>2020</v>
      </c>
      <c r="F28" s="15">
        <f t="shared" ref="F28:G28" si="17">F22</f>
        <v>2021</v>
      </c>
      <c r="G28" s="15">
        <f t="shared" si="17"/>
        <v>2022</v>
      </c>
    </row>
    <row r="29" spans="1:7" ht="15">
      <c r="A29" s="9" t="s">
        <v>42</v>
      </c>
      <c r="B29" s="10"/>
      <c r="C29" s="6">
        <v>7071</v>
      </c>
      <c r="D29" s="6">
        <v>6778</v>
      </c>
      <c r="E29" s="6">
        <v>6803</v>
      </c>
      <c r="F29" s="6">
        <v>9230</v>
      </c>
      <c r="G29" s="6">
        <v>9450</v>
      </c>
    </row>
    <row r="30" spans="1:7" ht="15">
      <c r="A30" s="10" t="s">
        <v>18</v>
      </c>
      <c r="B30" s="11"/>
      <c r="C30" s="4">
        <v>5440</v>
      </c>
      <c r="D30" s="4">
        <v>5978</v>
      </c>
      <c r="E30" s="4">
        <v>5554</v>
      </c>
      <c r="F30" s="4">
        <v>5953</v>
      </c>
      <c r="G30" s="4">
        <v>5911</v>
      </c>
    </row>
    <row r="31" spans="1:7" ht="15">
      <c r="A31" s="9" t="s">
        <v>20</v>
      </c>
      <c r="B31" s="10"/>
      <c r="C31" s="4">
        <v>3318</v>
      </c>
      <c r="D31" s="4">
        <v>3738</v>
      </c>
      <c r="E31" s="4">
        <v>4327</v>
      </c>
      <c r="F31" s="4">
        <v>4609</v>
      </c>
      <c r="G31" s="4">
        <v>4264</v>
      </c>
    </row>
    <row r="32" spans="1:7">
      <c r="A32" s="10" t="s">
        <v>43</v>
      </c>
      <c r="B32" s="11" t="s">
        <v>44</v>
      </c>
      <c r="C32" s="14">
        <f>C29+C30-C31</f>
        <v>9193</v>
      </c>
      <c r="D32" s="14">
        <f t="shared" ref="D32:G32" si="18">D29+D30-D31</f>
        <v>9018</v>
      </c>
      <c r="E32" s="14">
        <f t="shared" si="18"/>
        <v>8030</v>
      </c>
      <c r="F32" s="14">
        <f t="shared" si="18"/>
        <v>10574</v>
      </c>
      <c r="G32" s="14">
        <f t="shared" si="18"/>
        <v>11097</v>
      </c>
    </row>
    <row r="34" spans="1:7">
      <c r="A34" s="10" t="s">
        <v>45</v>
      </c>
      <c r="B34" s="11" t="s">
        <v>46</v>
      </c>
      <c r="C34" s="14"/>
      <c r="D34" s="14">
        <f>D32-C32</f>
        <v>-175</v>
      </c>
      <c r="E34" s="14">
        <f>E32-D32</f>
        <v>-988</v>
      </c>
      <c r="F34" s="14">
        <f t="shared" ref="F34:G34" si="19">F32-E32</f>
        <v>2544</v>
      </c>
      <c r="G34" s="14">
        <f t="shared" si="19"/>
        <v>523</v>
      </c>
    </row>
    <row r="35" spans="1:7" ht="15">
      <c r="A35" s="9" t="s">
        <v>28</v>
      </c>
      <c r="B35" s="10"/>
      <c r="C35" s="6">
        <v>2615</v>
      </c>
      <c r="D35" s="6">
        <v>3369</v>
      </c>
      <c r="E35" s="6">
        <v>4429</v>
      </c>
      <c r="F35" s="6">
        <v>4448</v>
      </c>
      <c r="G35" s="6">
        <v>4388</v>
      </c>
    </row>
    <row r="36" spans="1:7">
      <c r="A36" s="10" t="s">
        <v>47</v>
      </c>
      <c r="B36" s="11" t="s">
        <v>48</v>
      </c>
      <c r="C36" s="14">
        <f>C34+C35</f>
        <v>2615</v>
      </c>
      <c r="D36" s="14">
        <f t="shared" ref="D36:G36" si="20">D34+D35</f>
        <v>3194</v>
      </c>
      <c r="E36" s="14">
        <f t="shared" si="20"/>
        <v>3441</v>
      </c>
      <c r="F36" s="14">
        <f t="shared" si="20"/>
        <v>6992</v>
      </c>
      <c r="G36" s="14">
        <f t="shared" si="20"/>
        <v>4911</v>
      </c>
    </row>
    <row r="38" spans="1:7">
      <c r="A38" s="10" t="s">
        <v>49</v>
      </c>
      <c r="B38" s="11" t="s">
        <v>50</v>
      </c>
      <c r="C38" s="12"/>
      <c r="D38" s="12">
        <f t="shared" ref="D38:E38" si="21">D36/D25</f>
        <v>0.35422581662395852</v>
      </c>
      <c r="E38" s="12">
        <f t="shared" si="21"/>
        <v>0.46992717224452829</v>
      </c>
      <c r="F38" s="12">
        <f t="shared" ref="F38:G38" si="22">F36/F25</f>
        <v>0.48629985681405585</v>
      </c>
      <c r="G38" s="12">
        <f t="shared" si="22"/>
        <v>0.24852074327333906</v>
      </c>
    </row>
    <row r="40" spans="1:7">
      <c r="A40" s="10" t="s">
        <v>51</v>
      </c>
      <c r="B40" s="11" t="s">
        <v>52</v>
      </c>
      <c r="C40" s="14"/>
      <c r="D40" s="14">
        <f>D25-D36</f>
        <v>5822.8470227304424</v>
      </c>
      <c r="E40" s="14">
        <f t="shared" ref="E40:G40" si="23">E25-E36</f>
        <v>3881.4112229234179</v>
      </c>
      <c r="F40" s="14">
        <f t="shared" si="23"/>
        <v>7385.9602276821097</v>
      </c>
      <c r="G40" s="14">
        <f t="shared" si="23"/>
        <v>14849.925930430552</v>
      </c>
    </row>
    <row r="42" spans="1:7" ht="15">
      <c r="A42" s="10" t="s">
        <v>29</v>
      </c>
      <c r="B42" s="11"/>
      <c r="C42" s="4">
        <v>5172</v>
      </c>
      <c r="D42" s="4">
        <v>5695</v>
      </c>
      <c r="E42" s="4">
        <v>6215</v>
      </c>
      <c r="F42" s="4">
        <v>6610</v>
      </c>
      <c r="G42" s="4">
        <v>7012</v>
      </c>
    </row>
  </sheetData>
  <pageMargins left="0.75" right="0.75" top="1" bottom="1" header="0.5" footer="0.5"/>
  <pageSetup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38C74A5D8D3C48987BFCC155921DEB" ma:contentTypeVersion="9" ma:contentTypeDescription="Create a new document." ma:contentTypeScope="" ma:versionID="0c78c39554a9ce0a748d5e1e6121e81a">
  <xsd:schema xmlns:xsd="http://www.w3.org/2001/XMLSchema" xmlns:xs="http://www.w3.org/2001/XMLSchema" xmlns:p="http://schemas.microsoft.com/office/2006/metadata/properties" xmlns:ns2="037f999c-0d1e-47fe-8fb8-29855ae0a4af" xmlns:ns3="affe3c60-210b-4deb-af1d-599e76359976" targetNamespace="http://schemas.microsoft.com/office/2006/metadata/properties" ma:root="true" ma:fieldsID="6ad0cd8c066ade943027671e6a5efe8d" ns2:_="" ns3:_="">
    <xsd:import namespace="037f999c-0d1e-47fe-8fb8-29855ae0a4af"/>
    <xsd:import namespace="affe3c60-210b-4deb-af1d-599e763599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f999c-0d1e-47fe-8fb8-29855ae0a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e3c60-210b-4deb-af1d-599e763599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8E37AE-FB5D-440D-A4F2-3E7C51D1BB90}"/>
</file>

<file path=customXml/itemProps2.xml><?xml version="1.0" encoding="utf-8"?>
<ds:datastoreItem xmlns:ds="http://schemas.openxmlformats.org/officeDocument/2006/customXml" ds:itemID="{B25F39D2-4428-43FE-93F4-CCCB3B01B1EF}"/>
</file>

<file path=customXml/itemProps3.xml><?xml version="1.0" encoding="utf-8"?>
<ds:datastoreItem xmlns:ds="http://schemas.openxmlformats.org/officeDocument/2006/customXml" ds:itemID="{7F74709D-927C-4F2C-A2DF-ACCABFAD3F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Duke 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ROIC and Free Cash Flow</dc:title>
  <dc:subject/>
  <dc:creator>Joe Perfetti</dc:creator>
  <cp:keywords/>
  <dc:description/>
  <cp:lastModifiedBy>Alin Airinei</cp:lastModifiedBy>
  <cp:revision/>
  <dcterms:created xsi:type="dcterms:W3CDTF">2013-04-03T15:49:21Z</dcterms:created>
  <dcterms:modified xsi:type="dcterms:W3CDTF">2025-01-16T04:21:13Z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0x010100D038C74A5D8D3C48987BFCC155921DEB</vt:lpwstr>
  </property>
</Properties>
</file>